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5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ero\Desktop\EPIFond\SAEPIFond Dokumendid alates 01.2019\3_Nõukogu protokollid\2024\04.12.2024\"/>
    </mc:Choice>
  </mc:AlternateContent>
  <xr:revisionPtr revIDLastSave="0" documentId="13_ncr:1_{BEE2706C-A49A-4FC8-BA7F-DD5A8E0E2A1C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EELARVE-2025" sheetId="12" r:id="rId1"/>
    <sheet name="EELARVE2025_lahtikirjutus" sheetId="17" r:id="rId2"/>
    <sheet name="Org.toetus 2018-2,68%" sheetId="8" state="hidden" r:id="rId3"/>
    <sheet name="Kojad-2018_0,950-2,68%" sheetId="10" state="hidden" r:id="rId4"/>
    <sheet name="Liidud -2018_0,950-2%" sheetId="11" state="hidden" r:id="rId5"/>
    <sheet name="Org.toetus 2017" sheetId="5" state="hidden" r:id="rId6"/>
    <sheet name="Liidud-2017_950 000 €" sheetId="1" state="hidden" r:id="rId7"/>
    <sheet name="Kojad-2017_950 000 €" sheetId="2" state="hidden" r:id="rId8"/>
    <sheet name="SAEPIF eelarve 2017" sheetId="6" state="hidden" r:id="rId9"/>
    <sheet name="Eelarve 2017 lahtik." sheetId="7" state="hidden" r:id="rId10"/>
    <sheet name="Liidud_1 000 000 €" sheetId="3" state="hidden" r:id="rId11"/>
    <sheet name="Kojad_1 000 000 €" sheetId="4" state="hidden" r:id="rId12"/>
  </sheets>
  <externalReferences>
    <externalReference r:id="rId13"/>
  </externalReferences>
  <calcPr calcId="191029"/>
</workbook>
</file>

<file path=xl/calcChain.xml><?xml version="1.0" encoding="utf-8"?>
<calcChain xmlns="http://schemas.openxmlformats.org/spreadsheetml/2006/main">
  <c r="E24" i="17" l="1"/>
  <c r="G29" i="17"/>
  <c r="I29" i="17"/>
  <c r="H29" i="17"/>
  <c r="G11" i="17"/>
  <c r="G10" i="17" s="1"/>
  <c r="G18" i="17"/>
  <c r="G25" i="17"/>
  <c r="G23" i="17" s="1"/>
  <c r="E33" i="17"/>
  <c r="G22" i="17" l="1"/>
  <c r="G27" i="17"/>
  <c r="G28" i="17"/>
  <c r="G26" i="17" l="1"/>
  <c r="G21" i="17" s="1"/>
  <c r="G20" i="17" s="1"/>
  <c r="G17" i="17" s="1"/>
  <c r="G40" i="17" s="1"/>
  <c r="E30" i="17"/>
  <c r="E31" i="17"/>
  <c r="E32" i="17"/>
  <c r="E34" i="17"/>
  <c r="E35" i="17"/>
  <c r="E36" i="17"/>
  <c r="E37" i="17"/>
  <c r="E38" i="17"/>
  <c r="E39" i="17"/>
  <c r="H10" i="17"/>
  <c r="E13" i="17"/>
  <c r="D14" i="12" s="1"/>
  <c r="E25" i="17"/>
  <c r="H23" i="17"/>
  <c r="H22" i="17" s="1"/>
  <c r="E19" i="17"/>
  <c r="D20" i="12" l="1"/>
  <c r="H27" i="17"/>
  <c r="E12" i="17"/>
  <c r="H26" i="17" l="1"/>
  <c r="H21" i="17" s="1"/>
  <c r="H20" i="17" s="1"/>
  <c r="H17" i="17" l="1"/>
  <c r="E18" i="17"/>
  <c r="E23" i="17"/>
  <c r="I23" i="17"/>
  <c r="I18" i="17"/>
  <c r="F18" i="17"/>
  <c r="F17" i="17" s="1"/>
  <c r="F11" i="17"/>
  <c r="F10" i="17" s="1"/>
  <c r="I11" i="17"/>
  <c r="I10" i="17" s="1"/>
  <c r="E11" i="17"/>
  <c r="D13" i="12" s="1"/>
  <c r="H40" i="17" l="1"/>
  <c r="D12" i="12"/>
  <c r="E10" i="17"/>
  <c r="E22" i="17"/>
  <c r="D23" i="12"/>
  <c r="F40" i="17"/>
  <c r="I27" i="17"/>
  <c r="E27" i="17" s="1"/>
  <c r="I22" i="17"/>
  <c r="D11" i="12" l="1"/>
  <c r="D25" i="12"/>
  <c r="E28" i="17"/>
  <c r="I26" i="17"/>
  <c r="E26" i="17" l="1"/>
  <c r="E21" i="17" s="1"/>
  <c r="D26" i="12"/>
  <c r="I21" i="17"/>
  <c r="K54" i="8"/>
  <c r="D24" i="12" l="1"/>
  <c r="K84" i="11"/>
  <c r="C84" i="11"/>
  <c r="K83" i="11"/>
  <c r="C83" i="11"/>
  <c r="K82" i="11"/>
  <c r="C82" i="11"/>
  <c r="K81" i="11"/>
  <c r="C81" i="11"/>
  <c r="K80" i="11"/>
  <c r="C80" i="11"/>
  <c r="K79" i="11"/>
  <c r="C79" i="11"/>
  <c r="K78" i="11"/>
  <c r="C78" i="11"/>
  <c r="K77" i="11"/>
  <c r="C77" i="11"/>
  <c r="K76" i="11"/>
  <c r="C76" i="11"/>
  <c r="K75" i="11"/>
  <c r="C75" i="11"/>
  <c r="K74" i="11"/>
  <c r="C74" i="11"/>
  <c r="K73" i="11"/>
  <c r="C73" i="11"/>
  <c r="K72" i="11"/>
  <c r="C72" i="11"/>
  <c r="K71" i="11"/>
  <c r="C71" i="11"/>
  <c r="K70" i="11"/>
  <c r="C70" i="11"/>
  <c r="K69" i="11"/>
  <c r="C69" i="11"/>
  <c r="K68" i="11"/>
  <c r="C68" i="11"/>
  <c r="K67" i="11"/>
  <c r="C67" i="11"/>
  <c r="K66" i="11"/>
  <c r="C66" i="11"/>
  <c r="K65" i="11"/>
  <c r="C65" i="11"/>
  <c r="K64" i="11"/>
  <c r="C64" i="11"/>
  <c r="K63" i="11"/>
  <c r="C63" i="11"/>
  <c r="K62" i="11"/>
  <c r="C62" i="11"/>
  <c r="K61" i="11"/>
  <c r="C61" i="11"/>
  <c r="K60" i="11"/>
  <c r="C60" i="11"/>
  <c r="K59" i="11"/>
  <c r="C59" i="11"/>
  <c r="K58" i="11"/>
  <c r="C58" i="11"/>
  <c r="K57" i="11"/>
  <c r="C57" i="11"/>
  <c r="K56" i="11"/>
  <c r="C56" i="11"/>
  <c r="K55" i="11"/>
  <c r="C55" i="11"/>
  <c r="K54" i="11"/>
  <c r="C54" i="11"/>
  <c r="K53" i="11"/>
  <c r="O54" i="11" s="1"/>
  <c r="C53" i="11"/>
  <c r="E54" i="11" s="1"/>
  <c r="A49" i="11"/>
  <c r="E49" i="11" s="1"/>
  <c r="A48" i="11"/>
  <c r="E48" i="11" s="1"/>
  <c r="E45" i="11"/>
  <c r="E47" i="11" s="1"/>
  <c r="A44" i="11"/>
  <c r="S40" i="11"/>
  <c r="L38" i="11"/>
  <c r="J38" i="11"/>
  <c r="L37" i="11"/>
  <c r="J37" i="11"/>
  <c r="L36" i="11"/>
  <c r="J36" i="11"/>
  <c r="L35" i="11"/>
  <c r="J35" i="11"/>
  <c r="L34" i="11"/>
  <c r="J34" i="11"/>
  <c r="L33" i="11"/>
  <c r="J33" i="11"/>
  <c r="L32" i="11"/>
  <c r="J32" i="11"/>
  <c r="L31" i="11"/>
  <c r="J31" i="11"/>
  <c r="L30" i="11"/>
  <c r="J30" i="11"/>
  <c r="L29" i="11"/>
  <c r="J29" i="11"/>
  <c r="L28" i="11"/>
  <c r="J28" i="11"/>
  <c r="L27" i="11"/>
  <c r="J27" i="11"/>
  <c r="L26" i="11"/>
  <c r="J26" i="11"/>
  <c r="L25" i="11"/>
  <c r="J25" i="11"/>
  <c r="L24" i="11"/>
  <c r="J24" i="11"/>
  <c r="L23" i="11"/>
  <c r="J23" i="11"/>
  <c r="L22" i="11"/>
  <c r="J22" i="11"/>
  <c r="L21" i="11"/>
  <c r="J21" i="11"/>
  <c r="L20" i="11"/>
  <c r="J20" i="11"/>
  <c r="L19" i="11"/>
  <c r="J19" i="11"/>
  <c r="L18" i="11"/>
  <c r="J18" i="11"/>
  <c r="L17" i="11"/>
  <c r="J17" i="11"/>
  <c r="L16" i="11"/>
  <c r="J16" i="11"/>
  <c r="L15" i="11"/>
  <c r="J15" i="11"/>
  <c r="L14" i="11"/>
  <c r="J14" i="11"/>
  <c r="L13" i="11"/>
  <c r="J13" i="11"/>
  <c r="L12" i="11"/>
  <c r="J12" i="11"/>
  <c r="L11" i="11"/>
  <c r="J11" i="11"/>
  <c r="L10" i="11"/>
  <c r="J10" i="11"/>
  <c r="L9" i="11"/>
  <c r="J9" i="11"/>
  <c r="L8" i="11"/>
  <c r="J8" i="11"/>
  <c r="L7" i="11"/>
  <c r="L6" i="11" s="1"/>
  <c r="J7" i="11"/>
  <c r="T6" i="11"/>
  <c r="Q6" i="11"/>
  <c r="K6" i="11"/>
  <c r="I6" i="11"/>
  <c r="H6" i="11"/>
  <c r="G6" i="11"/>
  <c r="F6" i="11"/>
  <c r="E6" i="11"/>
  <c r="A6" i="11"/>
  <c r="P44" i="11" s="1"/>
  <c r="D22" i="12" l="1"/>
  <c r="C85" i="11"/>
  <c r="E55" i="11" s="1"/>
  <c r="J85" i="11"/>
  <c r="O55" i="11" s="1"/>
  <c r="E46" i="11"/>
  <c r="E50" i="11"/>
  <c r="A50" i="11"/>
  <c r="P47" i="11"/>
  <c r="P46" i="11"/>
  <c r="S44" i="11"/>
  <c r="R44" i="11" s="1"/>
  <c r="R54" i="11"/>
  <c r="J6" i="11"/>
  <c r="P45" i="11"/>
  <c r="G54" i="11"/>
  <c r="E56" i="11" l="1"/>
  <c r="G55" i="11"/>
  <c r="N38" i="11"/>
  <c r="N29" i="11"/>
  <c r="N28" i="11"/>
  <c r="N20" i="11"/>
  <c r="N19" i="11"/>
  <c r="N14" i="11"/>
  <c r="N7" i="11"/>
  <c r="N25" i="11"/>
  <c r="N22" i="11"/>
  <c r="N17" i="11"/>
  <c r="N12" i="11"/>
  <c r="N37" i="11"/>
  <c r="N36" i="11"/>
  <c r="N35" i="11"/>
  <c r="N27" i="11"/>
  <c r="N18" i="11"/>
  <c r="N13" i="11"/>
  <c r="N26" i="11"/>
  <c r="N24" i="11"/>
  <c r="N11" i="11"/>
  <c r="N10" i="11"/>
  <c r="N34" i="11"/>
  <c r="N33" i="11"/>
  <c r="N23" i="11"/>
  <c r="N16" i="11"/>
  <c r="N32" i="11"/>
  <c r="N31" i="11"/>
  <c r="N30" i="11"/>
  <c r="N15" i="11"/>
  <c r="N21" i="11"/>
  <c r="N9" i="11"/>
  <c r="N8" i="11"/>
  <c r="M32" i="11"/>
  <c r="M31" i="11"/>
  <c r="M30" i="11"/>
  <c r="M21" i="11"/>
  <c r="M15" i="11"/>
  <c r="M9" i="11"/>
  <c r="M8" i="11"/>
  <c r="M36" i="11"/>
  <c r="M38" i="11"/>
  <c r="M29" i="11"/>
  <c r="M28" i="11"/>
  <c r="M20" i="11"/>
  <c r="M19" i="11"/>
  <c r="M14" i="11"/>
  <c r="M7" i="11"/>
  <c r="M18" i="11"/>
  <c r="M37" i="11"/>
  <c r="M35" i="11"/>
  <c r="M27" i="11"/>
  <c r="M13" i="11"/>
  <c r="M34" i="11"/>
  <c r="M33" i="11"/>
  <c r="M17" i="11"/>
  <c r="M16" i="11"/>
  <c r="M26" i="11"/>
  <c r="M25" i="11"/>
  <c r="M24" i="11"/>
  <c r="M23" i="11"/>
  <c r="M22" i="11"/>
  <c r="M12" i="11"/>
  <c r="M11" i="11"/>
  <c r="M10" i="11"/>
  <c r="R55" i="11"/>
  <c r="O56" i="11"/>
  <c r="O37" i="11"/>
  <c r="O36" i="11"/>
  <c r="O35" i="11"/>
  <c r="O27" i="11"/>
  <c r="O18" i="11"/>
  <c r="O13" i="11"/>
  <c r="O30" i="11"/>
  <c r="O21" i="11"/>
  <c r="O34" i="11"/>
  <c r="O33" i="11"/>
  <c r="O26" i="11"/>
  <c r="O25" i="11"/>
  <c r="O24" i="11"/>
  <c r="O23" i="11"/>
  <c r="O22" i="11"/>
  <c r="O17" i="11"/>
  <c r="O16" i="11"/>
  <c r="O12" i="11"/>
  <c r="O11" i="11"/>
  <c r="O10" i="11"/>
  <c r="O15" i="11"/>
  <c r="O9" i="11"/>
  <c r="O32" i="11"/>
  <c r="O31" i="11"/>
  <c r="O8" i="11"/>
  <c r="O29" i="11"/>
  <c r="O14" i="11"/>
  <c r="O19" i="11"/>
  <c r="O20" i="11"/>
  <c r="O38" i="11"/>
  <c r="O28" i="11"/>
  <c r="O7" i="11"/>
  <c r="P48" i="11"/>
  <c r="D55" i="8"/>
  <c r="D38" i="8"/>
  <c r="I57" i="8"/>
  <c r="I55" i="8"/>
  <c r="H55" i="8"/>
  <c r="G55" i="8"/>
  <c r="F55" i="8"/>
  <c r="E55" i="8"/>
  <c r="C55" i="8"/>
  <c r="H38" i="8"/>
  <c r="G38" i="8"/>
  <c r="G58" i="8" s="1"/>
  <c r="F38" i="8"/>
  <c r="F58" i="8" s="1"/>
  <c r="E38" i="8"/>
  <c r="E58" i="8" s="1"/>
  <c r="C38" i="8"/>
  <c r="I31" i="8"/>
  <c r="I25" i="8"/>
  <c r="I21" i="8"/>
  <c r="I20" i="8"/>
  <c r="I19" i="8"/>
  <c r="I18" i="8"/>
  <c r="I15" i="8"/>
  <c r="I12" i="8"/>
  <c r="I8" i="8"/>
  <c r="I7" i="8"/>
  <c r="L51" i="10"/>
  <c r="D51" i="10"/>
  <c r="L50" i="10"/>
  <c r="D50" i="10"/>
  <c r="L49" i="10"/>
  <c r="D49" i="10"/>
  <c r="L48" i="10"/>
  <c r="D48" i="10"/>
  <c r="L47" i="10"/>
  <c r="D47" i="10"/>
  <c r="L46" i="10"/>
  <c r="D46" i="10"/>
  <c r="L45" i="10"/>
  <c r="D45" i="10"/>
  <c r="L44" i="10"/>
  <c r="D44" i="10"/>
  <c r="L43" i="10"/>
  <c r="D43" i="10"/>
  <c r="L42" i="10"/>
  <c r="D42" i="10"/>
  <c r="L41" i="10"/>
  <c r="D41" i="10"/>
  <c r="L40" i="10"/>
  <c r="D40" i="10"/>
  <c r="L39" i="10"/>
  <c r="D39" i="10"/>
  <c r="L38" i="10"/>
  <c r="D38" i="10"/>
  <c r="L37" i="10"/>
  <c r="D37" i="10"/>
  <c r="E37" i="10" s="1"/>
  <c r="L36" i="10"/>
  <c r="M36" i="10" s="1"/>
  <c r="D36" i="10"/>
  <c r="E36" i="10" s="1"/>
  <c r="H36" i="10" s="1"/>
  <c r="O21" i="10"/>
  <c r="M21" i="10"/>
  <c r="H21" i="10"/>
  <c r="G21" i="10"/>
  <c r="O20" i="10"/>
  <c r="M20" i="10"/>
  <c r="H20" i="10"/>
  <c r="G20" i="10"/>
  <c r="O19" i="10"/>
  <c r="M19" i="10"/>
  <c r="H19" i="10"/>
  <c r="G19" i="10"/>
  <c r="O18" i="10"/>
  <c r="M18" i="10"/>
  <c r="H18" i="10"/>
  <c r="G18" i="10"/>
  <c r="O17" i="10"/>
  <c r="M17" i="10"/>
  <c r="H17" i="10"/>
  <c r="G17" i="10"/>
  <c r="O16" i="10"/>
  <c r="M16" i="10"/>
  <c r="H16" i="10"/>
  <c r="G16" i="10"/>
  <c r="O15" i="10"/>
  <c r="M15" i="10"/>
  <c r="H15" i="10"/>
  <c r="G15" i="10"/>
  <c r="O14" i="10"/>
  <c r="M14" i="10"/>
  <c r="H14" i="10"/>
  <c r="G14" i="10"/>
  <c r="O13" i="10"/>
  <c r="M13" i="10"/>
  <c r="H13" i="10"/>
  <c r="G13" i="10"/>
  <c r="O12" i="10"/>
  <c r="M12" i="10"/>
  <c r="H12" i="10"/>
  <c r="G12" i="10"/>
  <c r="O11" i="10"/>
  <c r="M11" i="10"/>
  <c r="H11" i="10"/>
  <c r="G11" i="10"/>
  <c r="O10" i="10"/>
  <c r="M10" i="10"/>
  <c r="H10" i="10"/>
  <c r="G10" i="10"/>
  <c r="O9" i="10"/>
  <c r="M9" i="10"/>
  <c r="H9" i="10"/>
  <c r="G9" i="10"/>
  <c r="O8" i="10"/>
  <c r="M8" i="10"/>
  <c r="H8" i="10"/>
  <c r="G8" i="10"/>
  <c r="O7" i="10"/>
  <c r="M7" i="10"/>
  <c r="H7" i="10"/>
  <c r="G7" i="10"/>
  <c r="O6" i="10"/>
  <c r="M6" i="10"/>
  <c r="H6" i="10"/>
  <c r="G6" i="10"/>
  <c r="W5" i="10"/>
  <c r="T5" i="10"/>
  <c r="N5" i="10"/>
  <c r="L5" i="10"/>
  <c r="K5" i="10"/>
  <c r="J5" i="10"/>
  <c r="I5" i="10"/>
  <c r="F5" i="10"/>
  <c r="E5" i="10"/>
  <c r="D5" i="10"/>
  <c r="A5" i="10"/>
  <c r="M25" i="10" s="1"/>
  <c r="P35" i="11" l="1"/>
  <c r="R35" i="11" s="1"/>
  <c r="S35" i="11" s="1"/>
  <c r="P14" i="11"/>
  <c r="R14" i="11" s="1"/>
  <c r="H58" i="8"/>
  <c r="D58" i="8"/>
  <c r="I38" i="8"/>
  <c r="I58" i="8" s="1"/>
  <c r="G56" i="11"/>
  <c r="E57" i="11"/>
  <c r="E29" i="10"/>
  <c r="O25" i="10" s="1"/>
  <c r="P25" i="10" s="1"/>
  <c r="C58" i="8"/>
  <c r="O6" i="11"/>
  <c r="P12" i="11"/>
  <c r="R12" i="11" s="1"/>
  <c r="S12" i="11" s="1"/>
  <c r="P33" i="11"/>
  <c r="R33" i="11" s="1"/>
  <c r="S33" i="11" s="1"/>
  <c r="P29" i="11"/>
  <c r="R29" i="11" s="1"/>
  <c r="V29" i="11" s="1"/>
  <c r="P9" i="11"/>
  <c r="R9" i="11" s="1"/>
  <c r="V9" i="11" s="1"/>
  <c r="O57" i="11"/>
  <c r="R56" i="11"/>
  <c r="P31" i="11"/>
  <c r="R31" i="11" s="1"/>
  <c r="S31" i="11" s="1"/>
  <c r="P22" i="11"/>
  <c r="R22" i="11" s="1"/>
  <c r="S22" i="11" s="1"/>
  <c r="P26" i="11"/>
  <c r="R26" i="11" s="1"/>
  <c r="P34" i="11"/>
  <c r="R34" i="11" s="1"/>
  <c r="P37" i="11"/>
  <c r="R37" i="11" s="1"/>
  <c r="P19" i="11"/>
  <c r="R19" i="11" s="1"/>
  <c r="S19" i="11" s="1"/>
  <c r="P38" i="11"/>
  <c r="R38" i="11" s="1"/>
  <c r="P15" i="11"/>
  <c r="R15" i="11" s="1"/>
  <c r="P32" i="11"/>
  <c r="R32" i="11" s="1"/>
  <c r="P10" i="11"/>
  <c r="R10" i="11" s="1"/>
  <c r="S10" i="11" s="1"/>
  <c r="P23" i="11"/>
  <c r="R23" i="11" s="1"/>
  <c r="S23" i="11" s="1"/>
  <c r="P16" i="11"/>
  <c r="R16" i="11" s="1"/>
  <c r="S16" i="11" s="1"/>
  <c r="P13" i="11"/>
  <c r="R13" i="11" s="1"/>
  <c r="P18" i="11"/>
  <c r="R18" i="11" s="1"/>
  <c r="P20" i="11"/>
  <c r="R20" i="11" s="1"/>
  <c r="P36" i="11"/>
  <c r="R36" i="11" s="1"/>
  <c r="S36" i="11" s="1"/>
  <c r="P21" i="11"/>
  <c r="R21" i="11" s="1"/>
  <c r="P25" i="11"/>
  <c r="R25" i="11" s="1"/>
  <c r="S25" i="11" s="1"/>
  <c r="S14" i="11"/>
  <c r="V14" i="11"/>
  <c r="P11" i="11"/>
  <c r="R11" i="11" s="1"/>
  <c r="S11" i="11" s="1"/>
  <c r="P24" i="11"/>
  <c r="R24" i="11" s="1"/>
  <c r="S24" i="11" s="1"/>
  <c r="P17" i="11"/>
  <c r="R17" i="11" s="1"/>
  <c r="P27" i="11"/>
  <c r="R27" i="11" s="1"/>
  <c r="M6" i="11"/>
  <c r="P7" i="11"/>
  <c r="P28" i="11"/>
  <c r="R28" i="11" s="1"/>
  <c r="S28" i="11" s="1"/>
  <c r="P8" i="11"/>
  <c r="R8" i="11" s="1"/>
  <c r="S8" i="11" s="1"/>
  <c r="P30" i="11"/>
  <c r="R30" i="11" s="1"/>
  <c r="S30" i="11" s="1"/>
  <c r="N6" i="11"/>
  <c r="O5" i="10"/>
  <c r="L52" i="10"/>
  <c r="M37" i="10" s="1"/>
  <c r="D52" i="10"/>
  <c r="E38" i="10" s="1"/>
  <c r="M5" i="10"/>
  <c r="P36" i="10"/>
  <c r="H37" i="10"/>
  <c r="G42" i="7"/>
  <c r="G41" i="7"/>
  <c r="G13" i="7"/>
  <c r="G11" i="7"/>
  <c r="G10" i="7" s="1"/>
  <c r="M26" i="10" l="1"/>
  <c r="P15" i="10" s="1"/>
  <c r="V12" i="11"/>
  <c r="E58" i="11"/>
  <c r="G57" i="11"/>
  <c r="S9" i="11"/>
  <c r="M27" i="10"/>
  <c r="Q8" i="10" s="1"/>
  <c r="M28" i="10"/>
  <c r="S29" i="11"/>
  <c r="V27" i="11"/>
  <c r="S27" i="11"/>
  <c r="V17" i="11"/>
  <c r="S17" i="11"/>
  <c r="S20" i="11"/>
  <c r="V20" i="11"/>
  <c r="S38" i="11"/>
  <c r="V38" i="11"/>
  <c r="S26" i="11"/>
  <c r="V26" i="11"/>
  <c r="V34" i="11"/>
  <c r="S34" i="11"/>
  <c r="P6" i="11"/>
  <c r="R6" i="11" s="1"/>
  <c r="S6" i="11" s="1"/>
  <c r="R7" i="11"/>
  <c r="V18" i="11"/>
  <c r="S18" i="11"/>
  <c r="V15" i="11"/>
  <c r="S15" i="11"/>
  <c r="V21" i="11"/>
  <c r="S21" i="11"/>
  <c r="V13" i="11"/>
  <c r="S13" i="11"/>
  <c r="V32" i="11"/>
  <c r="S32" i="11"/>
  <c r="V37" i="11"/>
  <c r="S37" i="11"/>
  <c r="R57" i="11"/>
  <c r="O58" i="11"/>
  <c r="H38" i="10"/>
  <c r="E39" i="10"/>
  <c r="M38" i="10"/>
  <c r="P37" i="10"/>
  <c r="D14" i="6"/>
  <c r="F27" i="7"/>
  <c r="F26" i="7"/>
  <c r="D12" i="7"/>
  <c r="P6" i="10" l="1"/>
  <c r="P11" i="10"/>
  <c r="P16" i="10"/>
  <c r="P17" i="10"/>
  <c r="P20" i="10"/>
  <c r="P7" i="10"/>
  <c r="P21" i="10"/>
  <c r="P14" i="10"/>
  <c r="P13" i="10"/>
  <c r="P19" i="10"/>
  <c r="P10" i="10"/>
  <c r="P8" i="10"/>
  <c r="P12" i="10"/>
  <c r="P9" i="10"/>
  <c r="Q18" i="10"/>
  <c r="Q12" i="10"/>
  <c r="P18" i="10"/>
  <c r="G58" i="11"/>
  <c r="E59" i="11"/>
  <c r="Q19" i="10"/>
  <c r="Q9" i="10"/>
  <c r="Q14" i="10"/>
  <c r="Q20" i="10"/>
  <c r="Q6" i="10"/>
  <c r="Q15" i="10"/>
  <c r="Q16" i="10"/>
  <c r="Q7" i="10"/>
  <c r="Q17" i="10"/>
  <c r="Q11" i="10"/>
  <c r="M29" i="10"/>
  <c r="Q13" i="10"/>
  <c r="Q21" i="10"/>
  <c r="Q10" i="10"/>
  <c r="R14" i="10"/>
  <c r="R18" i="10"/>
  <c r="S18" i="10" s="1"/>
  <c r="U18" i="10" s="1"/>
  <c r="V18" i="10" s="1"/>
  <c r="R6" i="10"/>
  <c r="R11" i="10"/>
  <c r="R9" i="10"/>
  <c r="S9" i="10" s="1"/>
  <c r="U9" i="10" s="1"/>
  <c r="V9" i="10" s="1"/>
  <c r="R10" i="10"/>
  <c r="R19" i="10"/>
  <c r="R15" i="10"/>
  <c r="S15" i="10" s="1"/>
  <c r="U15" i="10" s="1"/>
  <c r="V15" i="10" s="1"/>
  <c r="R8" i="10"/>
  <c r="R12" i="10"/>
  <c r="S12" i="10" s="1"/>
  <c r="U12" i="10" s="1"/>
  <c r="V12" i="10" s="1"/>
  <c r="R21" i="10"/>
  <c r="R17" i="10"/>
  <c r="R16" i="10"/>
  <c r="R20" i="10"/>
  <c r="R7" i="10"/>
  <c r="S7" i="10" s="1"/>
  <c r="U7" i="10" s="1"/>
  <c r="Y7" i="10" s="1"/>
  <c r="R13" i="10"/>
  <c r="S7" i="11"/>
  <c r="V7" i="11"/>
  <c r="R39" i="11" s="1"/>
  <c r="O59" i="11"/>
  <c r="R58" i="11"/>
  <c r="P5" i="10"/>
  <c r="E40" i="10"/>
  <c r="H39" i="10"/>
  <c r="P38" i="10"/>
  <c r="M39" i="10"/>
  <c r="T8" i="2"/>
  <c r="H31" i="5"/>
  <c r="S19" i="10" l="1"/>
  <c r="U19" i="10" s="1"/>
  <c r="V19" i="10" s="1"/>
  <c r="S10" i="10"/>
  <c r="U10" i="10" s="1"/>
  <c r="S8" i="10"/>
  <c r="U8" i="10" s="1"/>
  <c r="V8" i="10" s="1"/>
  <c r="S17" i="10"/>
  <c r="U17" i="10" s="1"/>
  <c r="V17" i="10" s="1"/>
  <c r="S11" i="10"/>
  <c r="U11" i="10" s="1"/>
  <c r="Y11" i="10" s="1"/>
  <c r="S16" i="10"/>
  <c r="U16" i="10" s="1"/>
  <c r="V16" i="10" s="1"/>
  <c r="E60" i="11"/>
  <c r="G59" i="11"/>
  <c r="S14" i="10"/>
  <c r="U14" i="10" s="1"/>
  <c r="Y14" i="10" s="1"/>
  <c r="S6" i="10"/>
  <c r="U6" i="10" s="1"/>
  <c r="S20" i="10"/>
  <c r="U20" i="10" s="1"/>
  <c r="V20" i="10" s="1"/>
  <c r="S21" i="10"/>
  <c r="U21" i="10" s="1"/>
  <c r="V21" i="10" s="1"/>
  <c r="Q5" i="10"/>
  <c r="S13" i="10"/>
  <c r="U13" i="10" s="1"/>
  <c r="V13" i="10" s="1"/>
  <c r="Y8" i="10"/>
  <c r="R5" i="10"/>
  <c r="V10" i="10"/>
  <c r="Y10" i="10"/>
  <c r="R59" i="11"/>
  <c r="O60" i="11"/>
  <c r="Y17" i="10"/>
  <c r="V7" i="10"/>
  <c r="M40" i="10"/>
  <c r="P39" i="10"/>
  <c r="H40" i="10"/>
  <c r="E41" i="10"/>
  <c r="J37" i="1"/>
  <c r="V11" i="10" l="1"/>
  <c r="V14" i="10"/>
  <c r="E61" i="11"/>
  <c r="G60" i="11"/>
  <c r="Y13" i="10"/>
  <c r="S5" i="10"/>
  <c r="U5" i="10" s="1"/>
  <c r="V5" i="10" s="1"/>
  <c r="O61" i="11"/>
  <c r="R60" i="11"/>
  <c r="E42" i="10"/>
  <c r="H41" i="10"/>
  <c r="Y6" i="10"/>
  <c r="V6" i="10"/>
  <c r="P40" i="10"/>
  <c r="M41" i="10"/>
  <c r="C42" i="7"/>
  <c r="H42" i="7" s="1"/>
  <c r="C41" i="7"/>
  <c r="H41" i="7" s="1"/>
  <c r="C40" i="7"/>
  <c r="H40" i="7" s="1"/>
  <c r="C39" i="7"/>
  <c r="C38" i="7"/>
  <c r="C37" i="7"/>
  <c r="I37" i="7" s="1"/>
  <c r="C36" i="7"/>
  <c r="H36" i="7" s="1"/>
  <c r="C35" i="7"/>
  <c r="H35" i="7" s="1"/>
  <c r="C34" i="7"/>
  <c r="I34" i="7" s="1"/>
  <c r="C33" i="7"/>
  <c r="H33" i="7" s="1"/>
  <c r="C32" i="7"/>
  <c r="I32" i="7" s="1"/>
  <c r="G31" i="7"/>
  <c r="F31" i="7"/>
  <c r="E31" i="7"/>
  <c r="G28" i="7"/>
  <c r="E27" i="7"/>
  <c r="C27" i="7" s="1"/>
  <c r="C26" i="7"/>
  <c r="I26" i="7" s="1"/>
  <c r="G25" i="7"/>
  <c r="G24" i="7" s="1"/>
  <c r="F25" i="7"/>
  <c r="F29" i="7" s="1"/>
  <c r="H19" i="7"/>
  <c r="I18" i="7"/>
  <c r="H18" i="7"/>
  <c r="G17" i="7"/>
  <c r="F17" i="7"/>
  <c r="E17" i="7"/>
  <c r="D17" i="7"/>
  <c r="D16" i="7" s="1"/>
  <c r="C17" i="7"/>
  <c r="I14" i="7"/>
  <c r="H14" i="7"/>
  <c r="I13" i="7"/>
  <c r="H13" i="7"/>
  <c r="I12" i="7"/>
  <c r="H12" i="7"/>
  <c r="F11" i="7"/>
  <c r="F10" i="7" s="1"/>
  <c r="E11" i="7"/>
  <c r="E10" i="7" s="1"/>
  <c r="D11" i="7"/>
  <c r="D10" i="7" s="1"/>
  <c r="C11" i="7"/>
  <c r="H38" i="7" l="1"/>
  <c r="I38" i="7"/>
  <c r="H39" i="7"/>
  <c r="I39" i="7"/>
  <c r="F61" i="11"/>
  <c r="E62" i="11"/>
  <c r="H11" i="7"/>
  <c r="C10" i="7"/>
  <c r="R61" i="11"/>
  <c r="O62" i="11"/>
  <c r="M42" i="10"/>
  <c r="P41" i="10"/>
  <c r="Y22" i="10"/>
  <c r="U22" i="10"/>
  <c r="X22" i="10"/>
  <c r="V23" i="10"/>
  <c r="H42" i="10"/>
  <c r="E43" i="10"/>
  <c r="G23" i="7"/>
  <c r="G22" i="7" s="1"/>
  <c r="G16" i="7" s="1"/>
  <c r="H17" i="7"/>
  <c r="F24" i="7"/>
  <c r="H27" i="7"/>
  <c r="C25" i="7"/>
  <c r="I25" i="7" s="1"/>
  <c r="E25" i="7"/>
  <c r="E29" i="7" s="1"/>
  <c r="C31" i="7"/>
  <c r="H31" i="7" s="1"/>
  <c r="I17" i="7"/>
  <c r="I11" i="7"/>
  <c r="H26" i="7"/>
  <c r="I27" i="7"/>
  <c r="F30" i="7"/>
  <c r="H32" i="7"/>
  <c r="I33" i="7"/>
  <c r="H34" i="7"/>
  <c r="I36" i="7"/>
  <c r="H37" i="7"/>
  <c r="I40" i="7"/>
  <c r="E63" i="11" l="1"/>
  <c r="F62" i="11"/>
  <c r="O63" i="11"/>
  <c r="R62" i="11"/>
  <c r="E44" i="10"/>
  <c r="H43" i="10"/>
  <c r="O42" i="10"/>
  <c r="M43" i="10"/>
  <c r="H25" i="7"/>
  <c r="C24" i="7"/>
  <c r="E30" i="7"/>
  <c r="C30" i="7" s="1"/>
  <c r="E24" i="7"/>
  <c r="I31" i="7"/>
  <c r="C29" i="7"/>
  <c r="E28" i="7"/>
  <c r="F28" i="7"/>
  <c r="F23" i="7" s="1"/>
  <c r="F22" i="7" s="1"/>
  <c r="F16" i="7" s="1"/>
  <c r="F63" i="11" l="1"/>
  <c r="E64" i="11"/>
  <c r="F64" i="11" s="1"/>
  <c r="R63" i="11"/>
  <c r="O64" i="11"/>
  <c r="R64" i="11" s="1"/>
  <c r="M44" i="10"/>
  <c r="O43" i="10"/>
  <c r="H44" i="10"/>
  <c r="E45" i="10"/>
  <c r="E23" i="7"/>
  <c r="E22" i="7" s="1"/>
  <c r="E16" i="7" s="1"/>
  <c r="H30" i="7"/>
  <c r="I30" i="7"/>
  <c r="H24" i="7"/>
  <c r="I24" i="7"/>
  <c r="I29" i="7"/>
  <c r="C28" i="7"/>
  <c r="H29" i="7"/>
  <c r="E46" i="10" l="1"/>
  <c r="H46" i="10" s="1"/>
  <c r="H45" i="10"/>
  <c r="O44" i="10"/>
  <c r="M45" i="10"/>
  <c r="H28" i="7"/>
  <c r="C23" i="7"/>
  <c r="I28" i="7"/>
  <c r="M46" i="10" l="1"/>
  <c r="O46" i="10" s="1"/>
  <c r="O45" i="10"/>
  <c r="C22" i="7"/>
  <c r="H23" i="7"/>
  <c r="I23" i="7"/>
  <c r="H22" i="7" l="1"/>
  <c r="L22" i="7" s="1"/>
  <c r="C16" i="7"/>
  <c r="I22" i="7"/>
  <c r="H16" i="7" l="1"/>
  <c r="I16" i="7"/>
  <c r="F26" i="6" l="1"/>
  <c r="F25" i="6"/>
  <c r="E23" i="6"/>
  <c r="F22" i="6"/>
  <c r="E18" i="6"/>
  <c r="D18" i="6"/>
  <c r="F14" i="6"/>
  <c r="E12" i="6"/>
  <c r="E11" i="6" s="1"/>
  <c r="D12" i="6"/>
  <c r="D11" i="6" s="1"/>
  <c r="F18" i="6" l="1"/>
  <c r="F12" i="6"/>
  <c r="F24" i="6"/>
  <c r="D23" i="6"/>
  <c r="D21" i="6" s="1"/>
  <c r="D20" i="6" s="1"/>
  <c r="D17" i="6" s="1"/>
  <c r="D28" i="6" s="1"/>
  <c r="E21" i="6"/>
  <c r="F11" i="6"/>
  <c r="F23" i="6" l="1"/>
  <c r="F21" i="6"/>
  <c r="E20" i="6"/>
  <c r="F20" i="6" l="1"/>
  <c r="E17" i="6"/>
  <c r="E28" i="6" s="1"/>
  <c r="G38" i="5" l="1"/>
  <c r="F38" i="5"/>
  <c r="E38" i="5"/>
  <c r="D38" i="5"/>
  <c r="C38" i="5"/>
  <c r="C55" i="5"/>
  <c r="H57" i="5"/>
  <c r="D55" i="5"/>
  <c r="E55" i="5"/>
  <c r="F55" i="5"/>
  <c r="G55" i="5"/>
  <c r="H55" i="5"/>
  <c r="F58" i="5"/>
  <c r="H25" i="5"/>
  <c r="H21" i="5"/>
  <c r="H20" i="5"/>
  <c r="H19" i="5"/>
  <c r="H18" i="5"/>
  <c r="H15" i="5"/>
  <c r="H12" i="5"/>
  <c r="H8" i="5"/>
  <c r="H7" i="5"/>
  <c r="G58" i="5" l="1"/>
  <c r="E58" i="5"/>
  <c r="E59" i="5" s="1"/>
  <c r="C58" i="5"/>
  <c r="H38" i="5"/>
  <c r="H58" i="5" s="1"/>
  <c r="D58" i="5"/>
  <c r="L37" i="1" l="1"/>
  <c r="Q7" i="3" l="1"/>
  <c r="E44" i="3"/>
  <c r="T5" i="4" l="1"/>
  <c r="L51" i="4"/>
  <c r="D51" i="4"/>
  <c r="L50" i="4"/>
  <c r="D50" i="4"/>
  <c r="L49" i="4"/>
  <c r="D49" i="4"/>
  <c r="L48" i="4"/>
  <c r="D48" i="4"/>
  <c r="L47" i="4"/>
  <c r="D47" i="4"/>
  <c r="L46" i="4"/>
  <c r="D46" i="4"/>
  <c r="L45" i="4"/>
  <c r="D45" i="4"/>
  <c r="L44" i="4"/>
  <c r="D44" i="4"/>
  <c r="L43" i="4"/>
  <c r="D43" i="4"/>
  <c r="L42" i="4"/>
  <c r="D42" i="4"/>
  <c r="L41" i="4"/>
  <c r="D41" i="4"/>
  <c r="L40" i="4"/>
  <c r="D40" i="4"/>
  <c r="L39" i="4"/>
  <c r="D39" i="4"/>
  <c r="L38" i="4"/>
  <c r="D38" i="4"/>
  <c r="L37" i="4"/>
  <c r="D37" i="4"/>
  <c r="E37" i="4" s="1"/>
  <c r="L36" i="4"/>
  <c r="M36" i="4" s="1"/>
  <c r="D36" i="4"/>
  <c r="E36" i="4" s="1"/>
  <c r="H36" i="4" s="1"/>
  <c r="O21" i="4"/>
  <c r="M21" i="4"/>
  <c r="H21" i="4"/>
  <c r="G21" i="4"/>
  <c r="O20" i="4"/>
  <c r="M20" i="4"/>
  <c r="H20" i="4"/>
  <c r="G20" i="4"/>
  <c r="O19" i="4"/>
  <c r="M19" i="4"/>
  <c r="H19" i="4"/>
  <c r="G19" i="4"/>
  <c r="O18" i="4"/>
  <c r="M18" i="4"/>
  <c r="H18" i="4"/>
  <c r="G18" i="4"/>
  <c r="O17" i="4"/>
  <c r="M17" i="4"/>
  <c r="H17" i="4"/>
  <c r="G17" i="4"/>
  <c r="O16" i="4"/>
  <c r="M16" i="4"/>
  <c r="H16" i="4"/>
  <c r="G16" i="4"/>
  <c r="O15" i="4"/>
  <c r="M15" i="4"/>
  <c r="H15" i="4"/>
  <c r="G15" i="4"/>
  <c r="O14" i="4"/>
  <c r="M14" i="4"/>
  <c r="H14" i="4"/>
  <c r="G14" i="4"/>
  <c r="O13" i="4"/>
  <c r="M13" i="4"/>
  <c r="H13" i="4"/>
  <c r="G13" i="4"/>
  <c r="O12" i="4"/>
  <c r="M12" i="4"/>
  <c r="H12" i="4"/>
  <c r="G12" i="4"/>
  <c r="O11" i="4"/>
  <c r="M11" i="4"/>
  <c r="H11" i="4"/>
  <c r="G11" i="4"/>
  <c r="O10" i="4"/>
  <c r="M10" i="4"/>
  <c r="H10" i="4"/>
  <c r="G10" i="4"/>
  <c r="O9" i="4"/>
  <c r="M9" i="4"/>
  <c r="H9" i="4"/>
  <c r="G9" i="4"/>
  <c r="O8" i="4"/>
  <c r="M8" i="4"/>
  <c r="H8" i="4"/>
  <c r="G8" i="4"/>
  <c r="O7" i="4"/>
  <c r="M7" i="4"/>
  <c r="H7" i="4"/>
  <c r="G7" i="4"/>
  <c r="O6" i="4"/>
  <c r="O5" i="4" s="1"/>
  <c r="M6" i="4"/>
  <c r="M5" i="4" s="1"/>
  <c r="H6" i="4"/>
  <c r="G6" i="4"/>
  <c r="W5" i="4"/>
  <c r="N5" i="4"/>
  <c r="L5" i="4"/>
  <c r="K5" i="4"/>
  <c r="J5" i="4"/>
  <c r="I5" i="4"/>
  <c r="F5" i="4"/>
  <c r="E5" i="4"/>
  <c r="D5" i="4"/>
  <c r="A5" i="4"/>
  <c r="M25" i="4" s="1"/>
  <c r="K82" i="3"/>
  <c r="C82" i="3"/>
  <c r="K81" i="3"/>
  <c r="C81" i="3"/>
  <c r="K80" i="3"/>
  <c r="C80" i="3"/>
  <c r="K79" i="3"/>
  <c r="C79" i="3"/>
  <c r="K78" i="3"/>
  <c r="C78" i="3"/>
  <c r="K77" i="3"/>
  <c r="C77" i="3"/>
  <c r="K76" i="3"/>
  <c r="C76" i="3"/>
  <c r="K75" i="3"/>
  <c r="C75" i="3"/>
  <c r="K74" i="3"/>
  <c r="C74" i="3"/>
  <c r="K73" i="3"/>
  <c r="C73" i="3"/>
  <c r="K72" i="3"/>
  <c r="C72" i="3"/>
  <c r="K71" i="3"/>
  <c r="C71" i="3"/>
  <c r="K70" i="3"/>
  <c r="C70" i="3"/>
  <c r="K69" i="3"/>
  <c r="C69" i="3"/>
  <c r="K68" i="3"/>
  <c r="C68" i="3"/>
  <c r="K67" i="3"/>
  <c r="C67" i="3"/>
  <c r="K66" i="3"/>
  <c r="C66" i="3"/>
  <c r="K65" i="3"/>
  <c r="C65" i="3"/>
  <c r="K64" i="3"/>
  <c r="C64" i="3"/>
  <c r="K63" i="3"/>
  <c r="C63" i="3"/>
  <c r="K62" i="3"/>
  <c r="C62" i="3"/>
  <c r="K61" i="3"/>
  <c r="C61" i="3"/>
  <c r="K60" i="3"/>
  <c r="C60" i="3"/>
  <c r="K59" i="3"/>
  <c r="C59" i="3"/>
  <c r="K58" i="3"/>
  <c r="C58" i="3"/>
  <c r="K57" i="3"/>
  <c r="C57" i="3"/>
  <c r="K56" i="3"/>
  <c r="C56" i="3"/>
  <c r="K55" i="3"/>
  <c r="C55" i="3"/>
  <c r="K54" i="3"/>
  <c r="C54" i="3"/>
  <c r="K53" i="3"/>
  <c r="C53" i="3"/>
  <c r="K52" i="3"/>
  <c r="O53" i="3" s="1"/>
  <c r="R53" i="3" s="1"/>
  <c r="C52" i="3"/>
  <c r="E53" i="3" s="1"/>
  <c r="A48" i="3"/>
  <c r="A47" i="3"/>
  <c r="E46" i="3"/>
  <c r="A43" i="3"/>
  <c r="L37" i="3"/>
  <c r="J37" i="3"/>
  <c r="L36" i="3"/>
  <c r="J36" i="3"/>
  <c r="L35" i="3"/>
  <c r="J35" i="3"/>
  <c r="L34" i="3"/>
  <c r="J34" i="3"/>
  <c r="L33" i="3"/>
  <c r="J33" i="3"/>
  <c r="L32" i="3"/>
  <c r="J32" i="3"/>
  <c r="L31" i="3"/>
  <c r="J31" i="3"/>
  <c r="L30" i="3"/>
  <c r="J30" i="3"/>
  <c r="L29" i="3"/>
  <c r="J29" i="3"/>
  <c r="L28" i="3"/>
  <c r="J28" i="3"/>
  <c r="L27" i="3"/>
  <c r="J27" i="3"/>
  <c r="L26" i="3"/>
  <c r="J26" i="3"/>
  <c r="L25" i="3"/>
  <c r="J25" i="3"/>
  <c r="L24" i="3"/>
  <c r="J24" i="3"/>
  <c r="L23" i="3"/>
  <c r="J23" i="3"/>
  <c r="L22" i="3"/>
  <c r="J22" i="3"/>
  <c r="L21" i="3"/>
  <c r="J21" i="3"/>
  <c r="L20" i="3"/>
  <c r="J20" i="3"/>
  <c r="L19" i="3"/>
  <c r="J19" i="3"/>
  <c r="L18" i="3"/>
  <c r="J18" i="3"/>
  <c r="L17" i="3"/>
  <c r="J17" i="3"/>
  <c r="L16" i="3"/>
  <c r="J16" i="3"/>
  <c r="L15" i="3"/>
  <c r="J15" i="3"/>
  <c r="L14" i="3"/>
  <c r="J14" i="3"/>
  <c r="L13" i="3"/>
  <c r="J13" i="3"/>
  <c r="L12" i="3"/>
  <c r="J12" i="3"/>
  <c r="L11" i="3"/>
  <c r="J11" i="3"/>
  <c r="L10" i="3"/>
  <c r="J10" i="3"/>
  <c r="L9" i="3"/>
  <c r="J9" i="3"/>
  <c r="L8" i="3"/>
  <c r="J8" i="3"/>
  <c r="J6" i="3" s="1"/>
  <c r="L7" i="3"/>
  <c r="J7" i="3"/>
  <c r="T6" i="3"/>
  <c r="Q6" i="3"/>
  <c r="K6" i="3"/>
  <c r="I6" i="3"/>
  <c r="H6" i="3"/>
  <c r="G6" i="3"/>
  <c r="F6" i="3"/>
  <c r="E6" i="3"/>
  <c r="A6" i="3"/>
  <c r="P43" i="3" s="1"/>
  <c r="E82" i="3" l="1"/>
  <c r="E54" i="3" s="1"/>
  <c r="L82" i="3"/>
  <c r="D52" i="4"/>
  <c r="E38" i="4" s="1"/>
  <c r="L52" i="4"/>
  <c r="L6" i="3"/>
  <c r="A49" i="3"/>
  <c r="P36" i="4"/>
  <c r="M37" i="4"/>
  <c r="H37" i="4"/>
  <c r="E48" i="3"/>
  <c r="E47" i="3"/>
  <c r="P46" i="3" s="1"/>
  <c r="P44" i="3"/>
  <c r="S43" i="3"/>
  <c r="R43" i="3" s="1"/>
  <c r="G53" i="3"/>
  <c r="E45" i="3"/>
  <c r="O54" i="3"/>
  <c r="P45" i="3" l="1"/>
  <c r="N37" i="3" s="1"/>
  <c r="E39" i="4"/>
  <c r="H38" i="4"/>
  <c r="E29" i="4"/>
  <c r="M28" i="4" s="1"/>
  <c r="P37" i="4"/>
  <c r="M38" i="4"/>
  <c r="E40" i="4"/>
  <c r="H39" i="4"/>
  <c r="N32" i="3"/>
  <c r="N29" i="3"/>
  <c r="N23" i="3"/>
  <c r="N31" i="3"/>
  <c r="N27" i="3"/>
  <c r="N24" i="3"/>
  <c r="N16" i="3"/>
  <c r="N14" i="3"/>
  <c r="N19" i="3"/>
  <c r="N10" i="3"/>
  <c r="N9" i="3"/>
  <c r="N8" i="3"/>
  <c r="N7" i="3"/>
  <c r="R54" i="3"/>
  <c r="O55" i="3"/>
  <c r="E49" i="3"/>
  <c r="E55" i="3"/>
  <c r="G54" i="3"/>
  <c r="M34" i="3"/>
  <c r="M33" i="3"/>
  <c r="M31" i="3"/>
  <c r="M28" i="3"/>
  <c r="M27" i="3"/>
  <c r="M26" i="3"/>
  <c r="M24" i="3"/>
  <c r="M37" i="3"/>
  <c r="M36" i="3"/>
  <c r="M35" i="3"/>
  <c r="M32" i="3"/>
  <c r="M30" i="3"/>
  <c r="M29" i="3"/>
  <c r="M25" i="3"/>
  <c r="M23" i="3"/>
  <c r="M22" i="3"/>
  <c r="M19" i="3"/>
  <c r="M18" i="3"/>
  <c r="M13" i="3"/>
  <c r="M12" i="3"/>
  <c r="M10" i="3"/>
  <c r="M9" i="3"/>
  <c r="M8" i="3"/>
  <c r="M21" i="3"/>
  <c r="M20" i="3"/>
  <c r="M17" i="3"/>
  <c r="M16" i="3"/>
  <c r="M15" i="3"/>
  <c r="M14" i="3"/>
  <c r="M11" i="3"/>
  <c r="M7" i="3"/>
  <c r="O34" i="3"/>
  <c r="O33" i="3"/>
  <c r="O31" i="3"/>
  <c r="O28" i="3"/>
  <c r="O27" i="3"/>
  <c r="O26" i="3"/>
  <c r="O24" i="3"/>
  <c r="O37" i="3"/>
  <c r="O36" i="3"/>
  <c r="O35" i="3"/>
  <c r="O32" i="3"/>
  <c r="O30" i="3"/>
  <c r="O29" i="3"/>
  <c r="O25" i="3"/>
  <c r="O23" i="3"/>
  <c r="O22" i="3"/>
  <c r="O19" i="3"/>
  <c r="O18" i="3"/>
  <c r="O13" i="3"/>
  <c r="O12" i="3"/>
  <c r="O21" i="3"/>
  <c r="O20" i="3"/>
  <c r="O17" i="3"/>
  <c r="O16" i="3"/>
  <c r="O15" i="3"/>
  <c r="O14" i="3"/>
  <c r="O11" i="3"/>
  <c r="O7" i="3"/>
  <c r="O10" i="3"/>
  <c r="O9" i="3"/>
  <c r="O8" i="3"/>
  <c r="K81" i="1"/>
  <c r="K82" i="1"/>
  <c r="K83" i="1"/>
  <c r="C82" i="1"/>
  <c r="C83" i="1"/>
  <c r="N11" i="3" l="1"/>
  <c r="N26" i="3"/>
  <c r="N25" i="3"/>
  <c r="N15" i="3"/>
  <c r="N28" i="3"/>
  <c r="N30" i="3"/>
  <c r="P47" i="3"/>
  <c r="N12" i="3"/>
  <c r="N17" i="3"/>
  <c r="N33" i="3"/>
  <c r="N35" i="3"/>
  <c r="N13" i="3"/>
  <c r="N20" i="3"/>
  <c r="N34" i="3"/>
  <c r="N36" i="3"/>
  <c r="N18" i="3"/>
  <c r="N21" i="3"/>
  <c r="N22" i="3"/>
  <c r="M27" i="4"/>
  <c r="Q7" i="4" s="1"/>
  <c r="O25" i="4"/>
  <c r="P25" i="4" s="1"/>
  <c r="M26" i="4"/>
  <c r="P8" i="4" s="1"/>
  <c r="S8" i="4" s="1"/>
  <c r="U8" i="4" s="1"/>
  <c r="R12" i="4"/>
  <c r="R10" i="4"/>
  <c r="R21" i="4"/>
  <c r="R19" i="4"/>
  <c r="R17" i="4"/>
  <c r="R15" i="4"/>
  <c r="R13" i="4"/>
  <c r="R7" i="4"/>
  <c r="R11" i="4"/>
  <c r="R9" i="4"/>
  <c r="R20" i="4"/>
  <c r="R18" i="4"/>
  <c r="R16" i="4"/>
  <c r="R14" i="4"/>
  <c r="R8" i="4"/>
  <c r="R6" i="4"/>
  <c r="Q21" i="4"/>
  <c r="Q9" i="4"/>
  <c r="Q11" i="4"/>
  <c r="Q13" i="4"/>
  <c r="Q15" i="4"/>
  <c r="Q17" i="4"/>
  <c r="Q19" i="4"/>
  <c r="Q10" i="4"/>
  <c r="Q12" i="4"/>
  <c r="Q6" i="4"/>
  <c r="Q8" i="4"/>
  <c r="Q14" i="4"/>
  <c r="Q16" i="4"/>
  <c r="Q18" i="4"/>
  <c r="Q20" i="4"/>
  <c r="P12" i="4"/>
  <c r="P6" i="4"/>
  <c r="P7" i="4"/>
  <c r="P15" i="4"/>
  <c r="S15" i="4" s="1"/>
  <c r="U15" i="4" s="1"/>
  <c r="V15" i="4" s="1"/>
  <c r="P16" i="4"/>
  <c r="P17" i="4"/>
  <c r="S17" i="4" s="1"/>
  <c r="U17" i="4" s="1"/>
  <c r="V17" i="4" s="1"/>
  <c r="P18" i="4"/>
  <c r="P19" i="4"/>
  <c r="S19" i="4" s="1"/>
  <c r="U19" i="4" s="1"/>
  <c r="V19" i="4" s="1"/>
  <c r="P20" i="4"/>
  <c r="P21" i="4"/>
  <c r="P9" i="4"/>
  <c r="P10" i="4"/>
  <c r="P11" i="4"/>
  <c r="M29" i="4"/>
  <c r="S9" i="4"/>
  <c r="U9" i="4" s="1"/>
  <c r="V9" i="4" s="1"/>
  <c r="N6" i="3"/>
  <c r="E41" i="4"/>
  <c r="H40" i="4"/>
  <c r="P38" i="4"/>
  <c r="M39" i="4"/>
  <c r="O6" i="3"/>
  <c r="M6" i="3"/>
  <c r="P7" i="3"/>
  <c r="P14" i="3"/>
  <c r="R14" i="3" s="1"/>
  <c r="S14" i="3" s="1"/>
  <c r="P16" i="3"/>
  <c r="R16" i="3" s="1"/>
  <c r="S16" i="3" s="1"/>
  <c r="P20" i="3"/>
  <c r="R20" i="3" s="1"/>
  <c r="S20" i="3" s="1"/>
  <c r="P8" i="3"/>
  <c r="R8" i="3" s="1"/>
  <c r="S8" i="3" s="1"/>
  <c r="P10" i="3"/>
  <c r="R10" i="3" s="1"/>
  <c r="P13" i="3"/>
  <c r="R13" i="3" s="1"/>
  <c r="P19" i="3"/>
  <c r="R19" i="3" s="1"/>
  <c r="P23" i="3"/>
  <c r="R23" i="3" s="1"/>
  <c r="U23" i="3" s="1"/>
  <c r="S39" i="3" s="1"/>
  <c r="P29" i="3"/>
  <c r="R29" i="3" s="1"/>
  <c r="S29" i="3" s="1"/>
  <c r="P32" i="3"/>
  <c r="R32" i="3" s="1"/>
  <c r="P36" i="3"/>
  <c r="R36" i="3" s="1"/>
  <c r="S36" i="3" s="1"/>
  <c r="P24" i="3"/>
  <c r="R24" i="3" s="1"/>
  <c r="P27" i="3"/>
  <c r="R27" i="3" s="1"/>
  <c r="S27" i="3" s="1"/>
  <c r="P31" i="3"/>
  <c r="R31" i="3" s="1"/>
  <c r="P34" i="3"/>
  <c r="R34" i="3" s="1"/>
  <c r="E56" i="3"/>
  <c r="G55" i="3"/>
  <c r="P11" i="3"/>
  <c r="R11" i="3" s="1"/>
  <c r="P15" i="3"/>
  <c r="R15" i="3" s="1"/>
  <c r="S15" i="3" s="1"/>
  <c r="P17" i="3"/>
  <c r="R17" i="3" s="1"/>
  <c r="P21" i="3"/>
  <c r="R21" i="3" s="1"/>
  <c r="P9" i="3"/>
  <c r="R9" i="3" s="1"/>
  <c r="S9" i="3" s="1"/>
  <c r="P12" i="3"/>
  <c r="R12" i="3" s="1"/>
  <c r="S12" i="3" s="1"/>
  <c r="P18" i="3"/>
  <c r="R18" i="3" s="1"/>
  <c r="P22" i="3"/>
  <c r="R22" i="3" s="1"/>
  <c r="S22" i="3" s="1"/>
  <c r="P25" i="3"/>
  <c r="R25" i="3" s="1"/>
  <c r="P30" i="3"/>
  <c r="R30" i="3" s="1"/>
  <c r="P35" i="3"/>
  <c r="R35" i="3" s="1"/>
  <c r="S35" i="3" s="1"/>
  <c r="P37" i="3"/>
  <c r="R37" i="3" s="1"/>
  <c r="S37" i="3" s="1"/>
  <c r="P26" i="3"/>
  <c r="R26" i="3" s="1"/>
  <c r="S26" i="3" s="1"/>
  <c r="P28" i="3"/>
  <c r="R28" i="3" s="1"/>
  <c r="P33" i="3"/>
  <c r="R33" i="3" s="1"/>
  <c r="S33" i="3" s="1"/>
  <c r="R55" i="3"/>
  <c r="O56" i="3"/>
  <c r="L36" i="1"/>
  <c r="J36" i="1"/>
  <c r="L35" i="1"/>
  <c r="J35" i="1"/>
  <c r="S7" i="4" l="1"/>
  <c r="U7" i="4" s="1"/>
  <c r="V7" i="4" s="1"/>
  <c r="S12" i="4"/>
  <c r="U12" i="4" s="1"/>
  <c r="V12" i="4" s="1"/>
  <c r="P14" i="4"/>
  <c r="S21" i="4"/>
  <c r="U21" i="4" s="1"/>
  <c r="V21" i="4" s="1"/>
  <c r="P13" i="4"/>
  <c r="S13" i="4" s="1"/>
  <c r="U13" i="4" s="1"/>
  <c r="V13" i="4" s="1"/>
  <c r="Y8" i="4"/>
  <c r="V8" i="4"/>
  <c r="S11" i="4"/>
  <c r="U11" i="4" s="1"/>
  <c r="V11" i="4" s="1"/>
  <c r="S20" i="4"/>
  <c r="U20" i="4" s="1"/>
  <c r="V20" i="4" s="1"/>
  <c r="S16" i="4"/>
  <c r="U16" i="4" s="1"/>
  <c r="V16" i="4" s="1"/>
  <c r="S10" i="4"/>
  <c r="U10" i="4" s="1"/>
  <c r="V10" i="4" s="1"/>
  <c r="R5" i="4"/>
  <c r="S18" i="4"/>
  <c r="U18" i="4" s="1"/>
  <c r="V18" i="4" s="1"/>
  <c r="S14" i="4"/>
  <c r="U14" i="4" s="1"/>
  <c r="V14" i="4" s="1"/>
  <c r="P5" i="4"/>
  <c r="S6" i="4"/>
  <c r="Q5" i="4"/>
  <c r="P39" i="4"/>
  <c r="M40" i="4"/>
  <c r="E42" i="4"/>
  <c r="H41" i="4"/>
  <c r="S21" i="3"/>
  <c r="S34" i="3"/>
  <c r="S19" i="3"/>
  <c r="S10" i="3"/>
  <c r="V28" i="3"/>
  <c r="S28" i="3"/>
  <c r="S30" i="3"/>
  <c r="V30" i="3"/>
  <c r="R56" i="3"/>
  <c r="O57" i="3"/>
  <c r="S25" i="3"/>
  <c r="V25" i="3"/>
  <c r="S18" i="3"/>
  <c r="V18" i="3"/>
  <c r="S17" i="3"/>
  <c r="S11" i="3"/>
  <c r="E57" i="3"/>
  <c r="G56" i="3"/>
  <c r="S31" i="3"/>
  <c r="V24" i="3"/>
  <c r="S24" i="3"/>
  <c r="S32" i="3"/>
  <c r="S23" i="3"/>
  <c r="V23" i="3"/>
  <c r="S13" i="3"/>
  <c r="P6" i="3"/>
  <c r="R6" i="3" s="1"/>
  <c r="S6" i="3" s="1"/>
  <c r="R7" i="3"/>
  <c r="U6" i="4" l="1"/>
  <c r="S5" i="4"/>
  <c r="U5" i="4" s="1"/>
  <c r="V5" i="4" s="1"/>
  <c r="E43" i="4"/>
  <c r="H42" i="4"/>
  <c r="P40" i="4"/>
  <c r="M41" i="4"/>
  <c r="S7" i="3"/>
  <c r="R38" i="3"/>
  <c r="R57" i="3"/>
  <c r="O58" i="3"/>
  <c r="E58" i="3"/>
  <c r="G57" i="3"/>
  <c r="L51" i="2"/>
  <c r="D51" i="2"/>
  <c r="L50" i="2"/>
  <c r="D50" i="2"/>
  <c r="L49" i="2"/>
  <c r="D49" i="2"/>
  <c r="L48" i="2"/>
  <c r="D48" i="2"/>
  <c r="L47" i="2"/>
  <c r="D47" i="2"/>
  <c r="L46" i="2"/>
  <c r="D46" i="2"/>
  <c r="L45" i="2"/>
  <c r="D45" i="2"/>
  <c r="L44" i="2"/>
  <c r="D44" i="2"/>
  <c r="L43" i="2"/>
  <c r="D43" i="2"/>
  <c r="L42" i="2"/>
  <c r="D42" i="2"/>
  <c r="L41" i="2"/>
  <c r="D41" i="2"/>
  <c r="L40" i="2"/>
  <c r="D40" i="2"/>
  <c r="L39" i="2"/>
  <c r="D39" i="2"/>
  <c r="L38" i="2"/>
  <c r="D38" i="2"/>
  <c r="L37" i="2"/>
  <c r="D37" i="2"/>
  <c r="E37" i="2" s="1"/>
  <c r="L36" i="2"/>
  <c r="M36" i="2" s="1"/>
  <c r="D36" i="2"/>
  <c r="E36" i="2" s="1"/>
  <c r="H36" i="2" s="1"/>
  <c r="O21" i="2"/>
  <c r="M21" i="2"/>
  <c r="H21" i="2"/>
  <c r="G21" i="2"/>
  <c r="O20" i="2"/>
  <c r="M20" i="2"/>
  <c r="H20" i="2"/>
  <c r="G20" i="2"/>
  <c r="O19" i="2"/>
  <c r="M19" i="2"/>
  <c r="H19" i="2"/>
  <c r="G19" i="2"/>
  <c r="O18" i="2"/>
  <c r="M18" i="2"/>
  <c r="H18" i="2"/>
  <c r="G18" i="2"/>
  <c r="O17" i="2"/>
  <c r="M17" i="2"/>
  <c r="H17" i="2"/>
  <c r="G17" i="2"/>
  <c r="O16" i="2"/>
  <c r="M16" i="2"/>
  <c r="H16" i="2"/>
  <c r="G16" i="2"/>
  <c r="O15" i="2"/>
  <c r="M15" i="2"/>
  <c r="H15" i="2"/>
  <c r="G15" i="2"/>
  <c r="O14" i="2"/>
  <c r="M14" i="2"/>
  <c r="H14" i="2"/>
  <c r="G14" i="2"/>
  <c r="O13" i="2"/>
  <c r="M13" i="2"/>
  <c r="H13" i="2"/>
  <c r="G13" i="2"/>
  <c r="O12" i="2"/>
  <c r="M12" i="2"/>
  <c r="H12" i="2"/>
  <c r="G12" i="2"/>
  <c r="O11" i="2"/>
  <c r="M11" i="2"/>
  <c r="H11" i="2"/>
  <c r="G11" i="2"/>
  <c r="O10" i="2"/>
  <c r="M10" i="2"/>
  <c r="H10" i="2"/>
  <c r="G10" i="2"/>
  <c r="O9" i="2"/>
  <c r="M9" i="2"/>
  <c r="H9" i="2"/>
  <c r="G9" i="2"/>
  <c r="O8" i="2"/>
  <c r="M8" i="2"/>
  <c r="H8" i="2"/>
  <c r="G8" i="2"/>
  <c r="O7" i="2"/>
  <c r="M7" i="2"/>
  <c r="H7" i="2"/>
  <c r="G7" i="2"/>
  <c r="O6" i="2"/>
  <c r="M6" i="2"/>
  <c r="H6" i="2"/>
  <c r="G6" i="2"/>
  <c r="W5" i="2"/>
  <c r="T5" i="2"/>
  <c r="O5" i="2"/>
  <c r="N5" i="2"/>
  <c r="L5" i="2"/>
  <c r="K5" i="2"/>
  <c r="J5" i="2"/>
  <c r="I5" i="2"/>
  <c r="F5" i="2"/>
  <c r="E5" i="2"/>
  <c r="D5" i="2"/>
  <c r="A5" i="2"/>
  <c r="M25" i="2" s="1"/>
  <c r="C81" i="1"/>
  <c r="K80" i="1"/>
  <c r="C80" i="1"/>
  <c r="K79" i="1"/>
  <c r="C79" i="1"/>
  <c r="K78" i="1"/>
  <c r="C78" i="1"/>
  <c r="K77" i="1"/>
  <c r="C77" i="1"/>
  <c r="K76" i="1"/>
  <c r="C76" i="1"/>
  <c r="K75" i="1"/>
  <c r="C75" i="1"/>
  <c r="K74" i="1"/>
  <c r="C74" i="1"/>
  <c r="K73" i="1"/>
  <c r="C73" i="1"/>
  <c r="K72" i="1"/>
  <c r="C72" i="1"/>
  <c r="K71" i="1"/>
  <c r="C71" i="1"/>
  <c r="K70" i="1"/>
  <c r="C70" i="1"/>
  <c r="K69" i="1"/>
  <c r="C69" i="1"/>
  <c r="K68" i="1"/>
  <c r="C68" i="1"/>
  <c r="K67" i="1"/>
  <c r="C67" i="1"/>
  <c r="K66" i="1"/>
  <c r="C66" i="1"/>
  <c r="K65" i="1"/>
  <c r="C65" i="1"/>
  <c r="K64" i="1"/>
  <c r="C64" i="1"/>
  <c r="K63" i="1"/>
  <c r="C63" i="1"/>
  <c r="K62" i="1"/>
  <c r="C62" i="1"/>
  <c r="K61" i="1"/>
  <c r="C61" i="1"/>
  <c r="K60" i="1"/>
  <c r="C60" i="1"/>
  <c r="K59" i="1"/>
  <c r="C59" i="1"/>
  <c r="K58" i="1"/>
  <c r="C58" i="1"/>
  <c r="K57" i="1"/>
  <c r="C57" i="1"/>
  <c r="K56" i="1"/>
  <c r="C56" i="1"/>
  <c r="K55" i="1"/>
  <c r="C55" i="1"/>
  <c r="K54" i="1"/>
  <c r="E54" i="1"/>
  <c r="G54" i="1" s="1"/>
  <c r="C54" i="1"/>
  <c r="K53" i="1"/>
  <c r="C53" i="1"/>
  <c r="C84" i="1" s="1"/>
  <c r="A49" i="1"/>
  <c r="A48" i="1"/>
  <c r="E45" i="1"/>
  <c r="A44" i="1"/>
  <c r="L38" i="1"/>
  <c r="J38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J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L13" i="1"/>
  <c r="J13" i="1"/>
  <c r="L12" i="1"/>
  <c r="J12" i="1"/>
  <c r="L11" i="1"/>
  <c r="J11" i="1"/>
  <c r="L10" i="1"/>
  <c r="J10" i="1"/>
  <c r="L9" i="1"/>
  <c r="J9" i="1"/>
  <c r="L8" i="1"/>
  <c r="J8" i="1"/>
  <c r="L7" i="1"/>
  <c r="J7" i="1"/>
  <c r="T6" i="1"/>
  <c r="Q6" i="1"/>
  <c r="K6" i="1"/>
  <c r="H6" i="1"/>
  <c r="G6" i="1"/>
  <c r="F6" i="1"/>
  <c r="E6" i="1"/>
  <c r="A6" i="1"/>
  <c r="P44" i="1" s="1"/>
  <c r="L6" i="1" l="1"/>
  <c r="D52" i="2"/>
  <c r="L52" i="2"/>
  <c r="E49" i="1"/>
  <c r="E29" i="2" s="1"/>
  <c r="A50" i="1"/>
  <c r="Y6" i="4"/>
  <c r="X6" i="4"/>
  <c r="V6" i="4"/>
  <c r="P41" i="4"/>
  <c r="M42" i="4"/>
  <c r="E44" i="4"/>
  <c r="H43" i="4"/>
  <c r="R58" i="3"/>
  <c r="O59" i="3"/>
  <c r="E59" i="3"/>
  <c r="G58" i="3"/>
  <c r="O54" i="1"/>
  <c r="J84" i="1"/>
  <c r="E38" i="2"/>
  <c r="M5" i="2"/>
  <c r="P36" i="2"/>
  <c r="M37" i="2"/>
  <c r="H37" i="2"/>
  <c r="J14" i="1"/>
  <c r="J6" i="1" s="1"/>
  <c r="I6" i="1"/>
  <c r="E46" i="1"/>
  <c r="E48" i="1"/>
  <c r="E47" i="1"/>
  <c r="R54" i="1"/>
  <c r="E55" i="1"/>
  <c r="O55" i="1" l="1"/>
  <c r="M27" i="2"/>
  <c r="O25" i="2"/>
  <c r="P25" i="2" s="1"/>
  <c r="M28" i="2"/>
  <c r="M26" i="2"/>
  <c r="V23" i="4"/>
  <c r="H48" i="3" s="1"/>
  <c r="X22" i="4"/>
  <c r="Y22" i="4"/>
  <c r="U22" i="4"/>
  <c r="P42" i="4"/>
  <c r="M43" i="4"/>
  <c r="E45" i="4"/>
  <c r="H44" i="4"/>
  <c r="R59" i="3"/>
  <c r="O60" i="3"/>
  <c r="E60" i="3"/>
  <c r="G59" i="3"/>
  <c r="H38" i="2"/>
  <c r="E39" i="2"/>
  <c r="P37" i="2"/>
  <c r="M38" i="2"/>
  <c r="E40" i="2"/>
  <c r="H39" i="2"/>
  <c r="O56" i="1"/>
  <c r="R55" i="1"/>
  <c r="P47" i="1"/>
  <c r="P46" i="1"/>
  <c r="P45" i="1"/>
  <c r="S44" i="1"/>
  <c r="R44" i="1" s="1"/>
  <c r="G55" i="1"/>
  <c r="E56" i="1"/>
  <c r="E50" i="1"/>
  <c r="N36" i="1" l="1"/>
  <c r="N37" i="1"/>
  <c r="M36" i="1"/>
  <c r="M37" i="1"/>
  <c r="O36" i="1"/>
  <c r="O37" i="1"/>
  <c r="P21" i="2"/>
  <c r="M29" i="2"/>
  <c r="P16" i="2"/>
  <c r="P17" i="2"/>
  <c r="P18" i="2"/>
  <c r="P19" i="2"/>
  <c r="P20" i="2"/>
  <c r="P6" i="2"/>
  <c r="P7" i="2"/>
  <c r="P8" i="2"/>
  <c r="P9" i="2"/>
  <c r="P10" i="2"/>
  <c r="P11" i="2"/>
  <c r="P12" i="2"/>
  <c r="P13" i="2"/>
  <c r="P14" i="2"/>
  <c r="P15" i="2"/>
  <c r="R21" i="2"/>
  <c r="R16" i="2"/>
  <c r="R17" i="2"/>
  <c r="R18" i="2"/>
  <c r="R19" i="2"/>
  <c r="R20" i="2"/>
  <c r="R6" i="2"/>
  <c r="R7" i="2"/>
  <c r="R8" i="2"/>
  <c r="R9" i="2"/>
  <c r="R10" i="2"/>
  <c r="R11" i="2"/>
  <c r="R12" i="2"/>
  <c r="R13" i="2"/>
  <c r="R14" i="2"/>
  <c r="R15" i="2"/>
  <c r="Q7" i="2"/>
  <c r="Q9" i="2"/>
  <c r="Q11" i="2"/>
  <c r="Q13" i="2"/>
  <c r="Q15" i="2"/>
  <c r="Q17" i="2"/>
  <c r="Q19" i="2"/>
  <c r="Q20" i="2"/>
  <c r="Q6" i="2"/>
  <c r="Q8" i="2"/>
  <c r="Q10" i="2"/>
  <c r="Q12" i="2"/>
  <c r="Q14" i="2"/>
  <c r="Q21" i="2"/>
  <c r="Q16" i="2"/>
  <c r="Q18" i="2"/>
  <c r="P43" i="4"/>
  <c r="M44" i="4"/>
  <c r="E46" i="4"/>
  <c r="H46" i="4" s="1"/>
  <c r="H45" i="4"/>
  <c r="R60" i="3"/>
  <c r="O61" i="3"/>
  <c r="E61" i="3"/>
  <c r="F60" i="3"/>
  <c r="P36" i="1"/>
  <c r="R36" i="1" s="1"/>
  <c r="M35" i="1"/>
  <c r="O35" i="1"/>
  <c r="N35" i="1"/>
  <c r="E41" i="2"/>
  <c r="H40" i="2"/>
  <c r="P38" i="2"/>
  <c r="M39" i="2"/>
  <c r="G56" i="1"/>
  <c r="E57" i="1"/>
  <c r="M34" i="1"/>
  <c r="M27" i="1"/>
  <c r="M26" i="1"/>
  <c r="M25" i="1"/>
  <c r="M24" i="1"/>
  <c r="M23" i="1"/>
  <c r="M22" i="1"/>
  <c r="M21" i="1"/>
  <c r="M33" i="1"/>
  <c r="M31" i="1"/>
  <c r="M38" i="1"/>
  <c r="M32" i="1"/>
  <c r="M30" i="1"/>
  <c r="M29" i="1"/>
  <c r="M28" i="1"/>
  <c r="M20" i="1"/>
  <c r="M19" i="1"/>
  <c r="M16" i="1"/>
  <c r="M14" i="1"/>
  <c r="M7" i="1"/>
  <c r="M18" i="1"/>
  <c r="M15" i="1"/>
  <c r="M13" i="1"/>
  <c r="M11" i="1"/>
  <c r="M9" i="1"/>
  <c r="M17" i="1"/>
  <c r="M12" i="1"/>
  <c r="M10" i="1"/>
  <c r="M8" i="1"/>
  <c r="P48" i="1"/>
  <c r="O34" i="1"/>
  <c r="O27" i="1"/>
  <c r="O26" i="1"/>
  <c r="O25" i="1"/>
  <c r="O24" i="1"/>
  <c r="O23" i="1"/>
  <c r="O22" i="1"/>
  <c r="O21" i="1"/>
  <c r="O38" i="1"/>
  <c r="O32" i="1"/>
  <c r="O30" i="1"/>
  <c r="O29" i="1"/>
  <c r="O33" i="1"/>
  <c r="O31" i="1"/>
  <c r="O20" i="1"/>
  <c r="O19" i="1"/>
  <c r="O16" i="1"/>
  <c r="O14" i="1"/>
  <c r="O7" i="1"/>
  <c r="O28" i="1"/>
  <c r="O17" i="1"/>
  <c r="O12" i="1"/>
  <c r="O10" i="1"/>
  <c r="O8" i="1"/>
  <c r="O18" i="1"/>
  <c r="O15" i="1"/>
  <c r="O13" i="1"/>
  <c r="O11" i="1"/>
  <c r="O9" i="1"/>
  <c r="N38" i="1"/>
  <c r="N33" i="1"/>
  <c r="N32" i="1"/>
  <c r="N31" i="1"/>
  <c r="N30" i="1"/>
  <c r="N29" i="1"/>
  <c r="N28" i="1"/>
  <c r="N34" i="1"/>
  <c r="N26" i="1"/>
  <c r="N24" i="1"/>
  <c r="N23" i="1"/>
  <c r="N22" i="1"/>
  <c r="N18" i="1"/>
  <c r="N17" i="1"/>
  <c r="N15" i="1"/>
  <c r="N13" i="1"/>
  <c r="N12" i="1"/>
  <c r="N11" i="1"/>
  <c r="N10" i="1"/>
  <c r="N9" i="1"/>
  <c r="N8" i="1"/>
  <c r="N27" i="1"/>
  <c r="N25" i="1"/>
  <c r="N19" i="1"/>
  <c r="N16" i="1"/>
  <c r="N21" i="1"/>
  <c r="N20" i="1"/>
  <c r="N14" i="1"/>
  <c r="N7" i="1"/>
  <c r="O57" i="1"/>
  <c r="R56" i="1"/>
  <c r="P37" i="1" l="1"/>
  <c r="R37" i="1" s="1"/>
  <c r="Q5" i="2"/>
  <c r="S14" i="2"/>
  <c r="U14" i="2" s="1"/>
  <c r="V14" i="2" s="1"/>
  <c r="S12" i="2"/>
  <c r="U12" i="2" s="1"/>
  <c r="S10" i="2"/>
  <c r="U10" i="2" s="1"/>
  <c r="V10" i="2" s="1"/>
  <c r="S8" i="2"/>
  <c r="U8" i="2" s="1"/>
  <c r="S6" i="2"/>
  <c r="R5" i="2"/>
  <c r="S19" i="2"/>
  <c r="U19" i="2" s="1"/>
  <c r="V19" i="2" s="1"/>
  <c r="S17" i="2"/>
  <c r="U17" i="2" s="1"/>
  <c r="S21" i="2"/>
  <c r="U21" i="2" s="1"/>
  <c r="P5" i="2"/>
  <c r="S15" i="2"/>
  <c r="U15" i="2" s="1"/>
  <c r="V15" i="2" s="1"/>
  <c r="S13" i="2"/>
  <c r="U13" i="2" s="1"/>
  <c r="V13" i="2" s="1"/>
  <c r="S11" i="2"/>
  <c r="U11" i="2" s="1"/>
  <c r="V11" i="2" s="1"/>
  <c r="S9" i="2"/>
  <c r="U9" i="2" s="1"/>
  <c r="V9" i="2" s="1"/>
  <c r="S7" i="2"/>
  <c r="U7" i="2" s="1"/>
  <c r="Y7" i="2" s="1"/>
  <c r="S20" i="2"/>
  <c r="U20" i="2" s="1"/>
  <c r="V20" i="2" s="1"/>
  <c r="S18" i="2"/>
  <c r="U18" i="2" s="1"/>
  <c r="V18" i="2" s="1"/>
  <c r="S16" i="2"/>
  <c r="U16" i="2" s="1"/>
  <c r="V16" i="2" s="1"/>
  <c r="P44" i="4"/>
  <c r="M45" i="4"/>
  <c r="R61" i="3"/>
  <c r="O62" i="3"/>
  <c r="E62" i="3"/>
  <c r="F61" i="3"/>
  <c r="P35" i="1"/>
  <c r="R35" i="1" s="1"/>
  <c r="V35" i="1" s="1"/>
  <c r="P39" i="2"/>
  <c r="M40" i="2"/>
  <c r="E42" i="2"/>
  <c r="H41" i="2"/>
  <c r="N6" i="1"/>
  <c r="P10" i="1"/>
  <c r="R10" i="1" s="1"/>
  <c r="P17" i="1"/>
  <c r="R17" i="1" s="1"/>
  <c r="P11" i="1"/>
  <c r="R11" i="1" s="1"/>
  <c r="P15" i="1"/>
  <c r="R15" i="1" s="1"/>
  <c r="M6" i="1"/>
  <c r="P7" i="1"/>
  <c r="P16" i="1"/>
  <c r="R16" i="1" s="1"/>
  <c r="P20" i="1"/>
  <c r="R20" i="1" s="1"/>
  <c r="S20" i="1" s="1"/>
  <c r="P29" i="1"/>
  <c r="R29" i="1" s="1"/>
  <c r="P32" i="1"/>
  <c r="R32" i="1" s="1"/>
  <c r="P31" i="1"/>
  <c r="R31" i="1" s="1"/>
  <c r="P21" i="1"/>
  <c r="R21" i="1" s="1"/>
  <c r="P23" i="1"/>
  <c r="R23" i="1" s="1"/>
  <c r="P25" i="1"/>
  <c r="R25" i="1" s="1"/>
  <c r="P27" i="1"/>
  <c r="R27" i="1" s="1"/>
  <c r="G57" i="1"/>
  <c r="E58" i="1"/>
  <c r="O58" i="1"/>
  <c r="R57" i="1"/>
  <c r="O6" i="1"/>
  <c r="P8" i="1"/>
  <c r="R8" i="1" s="1"/>
  <c r="P12" i="1"/>
  <c r="R12" i="1" s="1"/>
  <c r="S12" i="1" s="1"/>
  <c r="P9" i="1"/>
  <c r="R9" i="1" s="1"/>
  <c r="P13" i="1"/>
  <c r="R13" i="1" s="1"/>
  <c r="P18" i="1"/>
  <c r="R18" i="1" s="1"/>
  <c r="P14" i="1"/>
  <c r="R14" i="1" s="1"/>
  <c r="P19" i="1"/>
  <c r="R19" i="1" s="1"/>
  <c r="P28" i="1"/>
  <c r="R28" i="1" s="1"/>
  <c r="P30" i="1"/>
  <c r="R30" i="1" s="1"/>
  <c r="P38" i="1"/>
  <c r="R38" i="1" s="1"/>
  <c r="P33" i="1"/>
  <c r="R33" i="1" s="1"/>
  <c r="P22" i="1"/>
  <c r="R22" i="1" s="1"/>
  <c r="P24" i="1"/>
  <c r="R24" i="1" s="1"/>
  <c r="P26" i="1"/>
  <c r="R26" i="1" s="1"/>
  <c r="P34" i="1"/>
  <c r="R34" i="1" s="1"/>
  <c r="V7" i="2" l="1"/>
  <c r="V21" i="2"/>
  <c r="U6" i="2"/>
  <c r="S5" i="2"/>
  <c r="U5" i="2" s="1"/>
  <c r="V5" i="2" s="1"/>
  <c r="V17" i="2"/>
  <c r="Y17" i="2"/>
  <c r="Y8" i="2"/>
  <c r="V8" i="2"/>
  <c r="V12" i="2"/>
  <c r="P45" i="4"/>
  <c r="M46" i="4"/>
  <c r="P46" i="4" s="1"/>
  <c r="R62" i="3"/>
  <c r="O63" i="3"/>
  <c r="R63" i="3" s="1"/>
  <c r="E63" i="3"/>
  <c r="F63" i="3" s="1"/>
  <c r="F62" i="3"/>
  <c r="S13" i="1"/>
  <c r="V13" i="1"/>
  <c r="S25" i="1"/>
  <c r="V25" i="1"/>
  <c r="S21" i="1"/>
  <c r="V21" i="1"/>
  <c r="S32" i="1"/>
  <c r="V32" i="1"/>
  <c r="S17" i="1"/>
  <c r="V17" i="1"/>
  <c r="S26" i="1"/>
  <c r="S24" i="1"/>
  <c r="V24" i="1"/>
  <c r="S30" i="1"/>
  <c r="V30" i="1"/>
  <c r="S19" i="1"/>
  <c r="V19" i="1"/>
  <c r="S9" i="1"/>
  <c r="S8" i="1"/>
  <c r="S31" i="1"/>
  <c r="V31" i="1"/>
  <c r="S11" i="1"/>
  <c r="V11" i="1"/>
  <c r="S10" i="1"/>
  <c r="V10" i="1"/>
  <c r="S35" i="1"/>
  <c r="E43" i="2"/>
  <c r="H42" i="2"/>
  <c r="P40" i="2"/>
  <c r="M41" i="2"/>
  <c r="V34" i="1"/>
  <c r="S34" i="1"/>
  <c r="S33" i="1"/>
  <c r="S18" i="1"/>
  <c r="V18" i="1"/>
  <c r="G58" i="1"/>
  <c r="E59" i="1"/>
  <c r="S27" i="1"/>
  <c r="S23" i="1"/>
  <c r="V23" i="1"/>
  <c r="S29" i="1"/>
  <c r="S16" i="1"/>
  <c r="S22" i="1"/>
  <c r="V28" i="1"/>
  <c r="S28" i="1"/>
  <c r="S14" i="1"/>
  <c r="O59" i="1"/>
  <c r="R58" i="1"/>
  <c r="R7" i="1"/>
  <c r="P6" i="1"/>
  <c r="R6" i="1" s="1"/>
  <c r="S6" i="1" s="1"/>
  <c r="S15" i="1"/>
  <c r="Y6" i="2" l="1"/>
  <c r="X6" i="2"/>
  <c r="V6" i="2"/>
  <c r="S7" i="1"/>
  <c r="V7" i="1"/>
  <c r="R39" i="1" s="1"/>
  <c r="P41" i="2"/>
  <c r="M42" i="2"/>
  <c r="E44" i="2"/>
  <c r="H43" i="2"/>
  <c r="O60" i="1"/>
  <c r="R59" i="1"/>
  <c r="G59" i="1"/>
  <c r="E60" i="1"/>
  <c r="S40" i="1"/>
  <c r="X22" i="2" l="1"/>
  <c r="V23" i="2"/>
  <c r="H49" i="11" s="1"/>
  <c r="H50" i="11" s="1"/>
  <c r="U22" i="2"/>
  <c r="Y22" i="2"/>
  <c r="O42" i="2"/>
  <c r="M43" i="2"/>
  <c r="E45" i="2"/>
  <c r="H44" i="2"/>
  <c r="G60" i="1"/>
  <c r="E61" i="1"/>
  <c r="O61" i="1"/>
  <c r="R60" i="1"/>
  <c r="H49" i="1" l="1"/>
  <c r="H50" i="1" s="1"/>
  <c r="H49" i="3"/>
  <c r="O43" i="2"/>
  <c r="M44" i="2"/>
  <c r="E46" i="2"/>
  <c r="H46" i="2" s="1"/>
  <c r="H45" i="2"/>
  <c r="F61" i="1"/>
  <c r="E62" i="1"/>
  <c r="O62" i="1"/>
  <c r="R61" i="1"/>
  <c r="O44" i="2" l="1"/>
  <c r="M45" i="2"/>
  <c r="F62" i="1"/>
  <c r="E63" i="1"/>
  <c r="O63" i="1"/>
  <c r="R62" i="1"/>
  <c r="O45" i="2" l="1"/>
  <c r="M46" i="2"/>
  <c r="O46" i="2" s="1"/>
  <c r="F63" i="1"/>
  <c r="E64" i="1"/>
  <c r="F64" i="1" s="1"/>
  <c r="O64" i="1"/>
  <c r="R64" i="1" s="1"/>
  <c r="R63" i="1"/>
  <c r="I20" i="17" l="1"/>
  <c r="E20" i="17" l="1"/>
  <c r="E29" i="17"/>
  <c r="I17" i="17"/>
  <c r="I40" i="17" l="1"/>
  <c r="E17" i="17"/>
  <c r="E40" i="17" s="1"/>
  <c r="D27" i="12"/>
  <c r="D18" i="12" l="1"/>
  <c r="D21" i="12"/>
  <c r="D2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8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Kompenseeritakse osaliselt 1458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8" authorId="0" shapeId="0" xr:uid="{00000000-0006-0000-0C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Kompenseeritakse osaliselt 1458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U8" authorId="0" shapeId="0" xr:uid="{00000000-0006-0000-1000-000001000000}">
      <text>
        <r>
          <rPr>
            <b/>
            <sz val="9"/>
            <color indexed="81"/>
            <rFont val="Tahoma"/>
            <family val="2"/>
            <charset val="186"/>
          </rPr>
          <t>User:</t>
        </r>
        <r>
          <rPr>
            <sz val="9"/>
            <color indexed="81"/>
            <rFont val="Tahoma"/>
            <family val="2"/>
            <charset val="186"/>
          </rPr>
          <t xml:space="preserve">
Kompenseeritakse osaliselt 1527
</t>
        </r>
      </text>
    </comment>
  </commentList>
</comments>
</file>

<file path=xl/sharedStrings.xml><?xml version="1.0" encoding="utf-8"?>
<sst xmlns="http://schemas.openxmlformats.org/spreadsheetml/2006/main" count="841" uniqueCount="305">
  <si>
    <t>Valuuta, €</t>
  </si>
  <si>
    <t>Org.</t>
  </si>
  <si>
    <t>Füüs.liikmed</t>
  </si>
  <si>
    <t>1.komp.</t>
  </si>
  <si>
    <t>2.komp.</t>
  </si>
  <si>
    <t>3.komp.</t>
  </si>
  <si>
    <t>4.komp.</t>
  </si>
  <si>
    <t>2016.a.</t>
  </si>
  <si>
    <t>Jrk.</t>
  </si>
  <si>
    <t>Organisatsiooni nimi</t>
  </si>
  <si>
    <t>arv reg.</t>
  </si>
  <si>
    <t>in.arv</t>
  </si>
  <si>
    <t>gr. 10.ks</t>
  </si>
  <si>
    <t>Kokku, €</t>
  </si>
  <si>
    <t>Lisa €</t>
  </si>
  <si>
    <t>neto koef. 10.ks</t>
  </si>
  <si>
    <t>Baas nivoo</t>
  </si>
  <si>
    <t>org. arv</t>
  </si>
  <si>
    <t>füüs. liik.</t>
  </si>
  <si>
    <t>neto tulu 10.ks</t>
  </si>
  <si>
    <t>Arvestus-lik toetus Kokku, €</t>
  </si>
  <si>
    <t>ERALDATUD toetus  Kokku, €</t>
  </si>
  <si>
    <t>Arvutuslik võrreldes           eraldatud 2015,             €    /      %</t>
  </si>
  <si>
    <t>Toetus Kokku, €</t>
  </si>
  <si>
    <t>KOKKU:</t>
  </si>
  <si>
    <t>E Liikumisp.-ga In.  Liit</t>
  </si>
  <si>
    <t>Eesti Diabeediliit</t>
  </si>
  <si>
    <t>EV Kutsehaigete Liit</t>
  </si>
  <si>
    <t xml:space="preserve">Eesti Pimedate Liit </t>
  </si>
  <si>
    <t>Eesti Vähiliit</t>
  </si>
  <si>
    <t>Vaegkuuljate Liit</t>
  </si>
  <si>
    <t>Eesti Kurtide Liit</t>
  </si>
  <si>
    <t>Eesti Vaimup. Inimeste Tugiliit</t>
  </si>
  <si>
    <t>Eesti Reumaliit</t>
  </si>
  <si>
    <t>Eesti Psoriaasiliit</t>
  </si>
  <si>
    <t>Eesti Allergialiit</t>
  </si>
  <si>
    <t>E Kuulmisp. Laste Van. L</t>
  </si>
  <si>
    <t>Eesti Afaasia Liit</t>
  </si>
  <si>
    <t>Eesti Epilepsialiit</t>
  </si>
  <si>
    <t>E Scleroos. Multiplexi Ü.</t>
  </si>
  <si>
    <t>Eesti Neeruhaigete Liit</t>
  </si>
  <si>
    <t>E Fenüülketonuuria Üh.</t>
  </si>
  <si>
    <t>Eesti Lihasehaigete Selts</t>
  </si>
  <si>
    <t>Eesti Kopsuliit</t>
  </si>
  <si>
    <t>Eesti Parkinsoniliit</t>
  </si>
  <si>
    <t>E Tsüstilise Fibroosi Üh.</t>
  </si>
  <si>
    <t>Eesti Laste Südame Liit</t>
  </si>
  <si>
    <t>Eesti Pimekurtide Tugiliit</t>
  </si>
  <si>
    <t>Eesti Hemofiiliaühing</t>
  </si>
  <si>
    <t>Eesti Tsöliaakia Selts</t>
  </si>
  <si>
    <t>Eesti Autismiühing</t>
  </si>
  <si>
    <t>Eesti Kogelejate Ühing</t>
  </si>
  <si>
    <t xml:space="preserve"> E Seljas. ja Vesipeah. Selts</t>
  </si>
  <si>
    <t>Prader-Willi Sündroomi Ühing</t>
  </si>
  <si>
    <t>Vähenemist KOKKU, €:</t>
  </si>
  <si>
    <t>Sellest kompenseeritud KOKKU, €:</t>
  </si>
  <si>
    <t>%</t>
  </si>
  <si>
    <t>Toetuseks KOKKU:</t>
  </si>
  <si>
    <t>€</t>
  </si>
  <si>
    <t>Komp.osak.</t>
  </si>
  <si>
    <t xml:space="preserve">Liidud </t>
  </si>
  <si>
    <t>SA EPIF (adminitreerimise kulu):</t>
  </si>
  <si>
    <t>Baasnivoo kokku (20 % üld summast):</t>
  </si>
  <si>
    <t>Jagamisekseks KOKKU:</t>
  </si>
  <si>
    <t>Allorganisatsioonide arvu järgi kokku:</t>
  </si>
  <si>
    <t>RESERV ja ühisprojektid:</t>
  </si>
  <si>
    <t>Füüsiliste liikmete arvu järgi kokku:</t>
  </si>
  <si>
    <t>EPI Koda:</t>
  </si>
  <si>
    <t>Neto käibe järgi  kokku:</t>
  </si>
  <si>
    <t>Liidud KOKKU:</t>
  </si>
  <si>
    <t>Kontroll:</t>
  </si>
  <si>
    <t>Maakonnad KOKKU:</t>
  </si>
  <si>
    <t>Reservi JÄÄK peale kompensatsiooni</t>
  </si>
  <si>
    <t>Kontroll</t>
  </si>
  <si>
    <t>Liitude 3. ja 4.komponentide gruppideks jagamise piirid</t>
  </si>
  <si>
    <t>log(in.)</t>
  </si>
  <si>
    <t>In. arvu gruppide piirid, in.</t>
  </si>
  <si>
    <t>Lisaraha, €</t>
  </si>
  <si>
    <t>log(€)</t>
  </si>
  <si>
    <t>Lisatulu gruppide piirid, €</t>
  </si>
  <si>
    <t>10.ks</t>
  </si>
  <si>
    <t>punkte</t>
  </si>
  <si>
    <t>10-ks jaotuse samm</t>
  </si>
  <si>
    <t>Maakond</t>
  </si>
  <si>
    <t xml:space="preserve">Puude </t>
  </si>
  <si>
    <t>Töövõim.</t>
  </si>
  <si>
    <t>Org. osalus %</t>
  </si>
  <si>
    <t>sh kojad</t>
  </si>
  <si>
    <t>regist.</t>
  </si>
  <si>
    <t>rask. ast. in. maa-konnas*</t>
  </si>
  <si>
    <t>% in. maa-konnas **</t>
  </si>
  <si>
    <t>PRA suht.</t>
  </si>
  <si>
    <t>TVP suht.</t>
  </si>
  <si>
    <t>Org. in.arv</t>
  </si>
  <si>
    <t>10.ks gr.</t>
  </si>
  <si>
    <t>sh. HMN</t>
  </si>
  <si>
    <t>Lisa , €</t>
  </si>
  <si>
    <t>füüs. liik. 10.ks gr.</t>
  </si>
  <si>
    <t>10.ks gr.  netot.</t>
  </si>
  <si>
    <t>Arvestuslik toetus (10.gr.) Kokku, €</t>
  </si>
  <si>
    <t>Eraldatud toetus KOKKU, €</t>
  </si>
  <si>
    <t>Tallinn</t>
  </si>
  <si>
    <t>Tartu</t>
  </si>
  <si>
    <t>Ida-Virumaa</t>
  </si>
  <si>
    <t>Viljandimaa</t>
  </si>
  <si>
    <t>Pärnumaa</t>
  </si>
  <si>
    <t xml:space="preserve">Harjumaa </t>
  </si>
  <si>
    <t xml:space="preserve">Valgamaa </t>
  </si>
  <si>
    <t xml:space="preserve">Saaremaa </t>
  </si>
  <si>
    <t xml:space="preserve">Läänemaa </t>
  </si>
  <si>
    <t xml:space="preserve">Pōlvamaa </t>
  </si>
  <si>
    <t xml:space="preserve">Vōrumaa </t>
  </si>
  <si>
    <t>Raplamaa</t>
  </si>
  <si>
    <t xml:space="preserve">Lääne-Virumaa </t>
  </si>
  <si>
    <t xml:space="preserve">Järvamaa </t>
  </si>
  <si>
    <t>Jōgevamaa</t>
  </si>
  <si>
    <t xml:space="preserve">Hiiumaa </t>
  </si>
  <si>
    <t>Komp.osak.kogu toetuses</t>
  </si>
  <si>
    <t>Maakonnad</t>
  </si>
  <si>
    <t>"0"nivoo  kokku (30 % üld summast):</t>
  </si>
  <si>
    <t>Allorganisatsioonide arvu  järgi kokku:</t>
  </si>
  <si>
    <t>* Seisuga 29.04.2014 kokku määratud puude raskusaste 141 026 in.             s.h. puudega lapsi (0 - 15.a.) 9 862 last. ja v.a. 497 mitte Eesti</t>
  </si>
  <si>
    <t>** Seisuga 01.01.2014 ilma riikidevaheliste sotsiaalkindlustus-lepingutega pensionärid (1472 in.).</t>
  </si>
  <si>
    <t>Makonnad kokku:</t>
  </si>
  <si>
    <t>Maakondade 3. ja 4.komponentide gruppideks jagamise piirid</t>
  </si>
  <si>
    <t>3.komponent</t>
  </si>
  <si>
    <t>In.arv gruppide piirid, in.</t>
  </si>
  <si>
    <t>4.komponent</t>
  </si>
  <si>
    <t>Inim.arv</t>
  </si>
  <si>
    <t>Log</t>
  </si>
  <si>
    <t>Lisa, €</t>
  </si>
  <si>
    <t>Netotulu aastal 2015</t>
  </si>
  <si>
    <t>Arvutuslik võrreldes 2016.a                 €  /  %</t>
  </si>
  <si>
    <t>2017.a.</t>
  </si>
  <si>
    <t>E.Põletikulise Soolehaiguse Selts</t>
  </si>
  <si>
    <t>E.Puuetega Naiste Ühenduste Liit</t>
  </si>
  <si>
    <t>10-ks jaotamise samm</t>
  </si>
  <si>
    <t>Inim. arv</t>
  </si>
  <si>
    <t>sh. EPIF/ HMN</t>
  </si>
  <si>
    <t>SA EPI Fond nõukogu protokolli 2016/03 Lisa 1.1.2</t>
  </si>
  <si>
    <t>Liitude toetus aastal 2017 sh halduskulu (kokku EPIK võrgustik jaotatakse 1 000 000 €</t>
  </si>
  <si>
    <t>10. ks gr.</t>
  </si>
  <si>
    <t xml:space="preserve">Maakondade toetus aastal 2017  (kokku EPIK võrgustik jaotatakse 1 00 000 € </t>
  </si>
  <si>
    <r>
      <rPr>
        <b/>
        <sz val="8"/>
        <rFont val="Times New Roman Baltic"/>
        <charset val="186"/>
      </rPr>
      <t>Arvestuslik</t>
    </r>
    <r>
      <rPr>
        <sz val="8"/>
        <rFont val="Times New Roman Baltic"/>
      </rPr>
      <t xml:space="preserve"> toetus (10.gr.) Kokku, €</t>
    </r>
  </si>
  <si>
    <t xml:space="preserve">* Seisuga 29.04.2014 kokku määratud puude raskusaste 141 026 in.   s.h. puudega lapsi (0 - 15.a.) 9 862 last. ja v.a. 497 mitte Eesti          </t>
  </si>
  <si>
    <t>SA EPI Fond nõukogu protokolli 2016/04 Lisa 2.1</t>
  </si>
  <si>
    <t>log.</t>
  </si>
  <si>
    <t>Eesti Vähihaigete Laste Vanemate Liit</t>
  </si>
  <si>
    <t>SA EPI Fond nõukogu protokolli 2016/06 Lisa 1.1.2</t>
  </si>
  <si>
    <t>SA EPI Fond nõukogu protokolli 2016/06 Lisa 1.1.1</t>
  </si>
  <si>
    <t>Jrk. nr.</t>
  </si>
  <si>
    <t>Taotleja organisatsioon</t>
  </si>
  <si>
    <t xml:space="preserve"> 2012.a. toetus, €</t>
  </si>
  <si>
    <t xml:space="preserve"> 2013.a. toetus, €</t>
  </si>
  <si>
    <t xml:space="preserve"> 2014.a. toetus, €</t>
  </si>
  <si>
    <t xml:space="preserve"> 2015.a. toetus, €</t>
  </si>
  <si>
    <t>Eesti Puuetega Inimeste Koda</t>
  </si>
  <si>
    <t>Eesti Liikumispuudega Inimeste Liit</t>
  </si>
  <si>
    <t>Eesti Kutsehaigete Liit</t>
  </si>
  <si>
    <t>Eesti Pimedate Liit</t>
  </si>
  <si>
    <t>Eesti Vaegkuuljate Liit</t>
  </si>
  <si>
    <t>E Vaimsete Puuetega Inimeste Tugiliit</t>
  </si>
  <si>
    <t>Eesti Kuulmispuudega Laste Vanemate Liit</t>
  </si>
  <si>
    <t>Eesti Fenüülketonuuria Ühing</t>
  </si>
  <si>
    <t>Eesti Tsüstilise Fibroosi Ühing</t>
  </si>
  <si>
    <t>Eesti Laste Südameliit</t>
  </si>
  <si>
    <t>Eesti Audismiühing</t>
  </si>
  <si>
    <t>Eesti Seljasonga ja Vesipeahaigete Selts</t>
  </si>
  <si>
    <t>Vabariiklikud org. KOKKU:</t>
  </si>
  <si>
    <t>Tallinn s.h. PI Koda</t>
  </si>
  <si>
    <t>Tartumaa s.h.  PI Koda</t>
  </si>
  <si>
    <t>Ida-Virumaa s.h.  PI Koda</t>
  </si>
  <si>
    <t>Viljandimaa s.h.  PI Koda</t>
  </si>
  <si>
    <t>Pärnumaa s.h.  PI Koda</t>
  </si>
  <si>
    <t>Harjumaa s.h.   PI Koda</t>
  </si>
  <si>
    <t>Valgamaa s.h.  PI Koda</t>
  </si>
  <si>
    <t>Saaremaa s.h.  PI Koda</t>
  </si>
  <si>
    <t>Läänemaa s.h.  PI Koda</t>
  </si>
  <si>
    <t>Põlvamaa s.h.  PI Koda</t>
  </si>
  <si>
    <t>Võrumaa s.h.  PI Koda</t>
  </si>
  <si>
    <t>Raplamaa s.h.  PI Koda</t>
  </si>
  <si>
    <t>Lääne-Virumaa s.h.  PI Koda</t>
  </si>
  <si>
    <t>Järvamaa s.h.   PI Koda</t>
  </si>
  <si>
    <t>Jõgevamaa s.h.  PI Koda</t>
  </si>
  <si>
    <t>Hiiumaa s.h.  PI Koda</t>
  </si>
  <si>
    <t>Maakondlikud Kojad KOKKU:</t>
  </si>
  <si>
    <t>SA EPI Fond (proj.rahade administreerimiseks)</t>
  </si>
  <si>
    <t>RESERV (vaba aasta algul)</t>
  </si>
  <si>
    <t>KÕIK KOKKU:</t>
  </si>
  <si>
    <t>Genadi Vaher</t>
  </si>
  <si>
    <t>SA EPI Fond juhataja</t>
  </si>
  <si>
    <t xml:space="preserve">SA EPI File HMN eraldatud 2017.a.  toetuse vahendamine EPI Kojale ja liikmesorg.-le </t>
  </si>
  <si>
    <t xml:space="preserve"> 2016.a. toetus, €</t>
  </si>
  <si>
    <r>
      <t xml:space="preserve"> 2017.a.</t>
    </r>
    <r>
      <rPr>
        <b/>
        <i/>
        <sz val="11"/>
        <rFont val="Times New Roman Baltic"/>
        <charset val="186"/>
      </rPr>
      <t xml:space="preserve"> toetus, €</t>
    </r>
  </si>
  <si>
    <t>Eesti Põletikulise Soolehaiguse Selts</t>
  </si>
  <si>
    <t>Eesti Puuetega Naiste Ühenduste Liit</t>
  </si>
  <si>
    <t>SA EPI Fondi nõukogu</t>
  </si>
  <si>
    <t>Asutuse nimetus : Sihtasutus Eesti Puuetega Inimeste Fond</t>
  </si>
  <si>
    <t>Asutuse registrikood : 90000145</t>
  </si>
  <si>
    <t xml:space="preserve">Konto </t>
  </si>
  <si>
    <t>Eelarve</t>
  </si>
  <si>
    <t>Täitmine</t>
  </si>
  <si>
    <t>grupp</t>
  </si>
  <si>
    <t>Nimetus</t>
  </si>
  <si>
    <t>´+/-</t>
  </si>
  <si>
    <t>TULUD kokku</t>
  </si>
  <si>
    <t>Saadud sihtfinantseerimine</t>
  </si>
  <si>
    <t xml:space="preserve">s.h.   </t>
  </si>
  <si>
    <t>Hasartmängumaksu  Nõukogu (HMN) toetus EPI Koja võrgustikule</t>
  </si>
  <si>
    <t>Tulu  parkimiskaartide administreerimisest</t>
  </si>
  <si>
    <t>Intressitulu</t>
  </si>
  <si>
    <t>KULUD kokku</t>
  </si>
  <si>
    <t>Antud sihtfinantseerimise vahendamine  tegevuskuludeks</t>
  </si>
  <si>
    <t xml:space="preserve">s.h .  </t>
  </si>
  <si>
    <r>
      <t xml:space="preserve">Tegevuskulud </t>
    </r>
    <r>
      <rPr>
        <sz val="14"/>
        <rFont val="Arial"/>
        <family val="2"/>
        <charset val="186"/>
      </rPr>
      <t>(tööjõukulud + majanduskulud)</t>
    </r>
  </si>
  <si>
    <t>Tööjõukulud</t>
  </si>
  <si>
    <t>Töötasud</t>
  </si>
  <si>
    <t xml:space="preserve">Tööjõukuludega kaasnevad maksud ja sotsiaalkindlustusmaksed </t>
  </si>
  <si>
    <t>Sotsiaalmaks töötasudelt ja toetustelt</t>
  </si>
  <si>
    <t>Töötuskindlustusmakse</t>
  </si>
  <si>
    <t xml:space="preserve">Majanduskulud </t>
  </si>
  <si>
    <t xml:space="preserve"> </t>
  </si>
  <si>
    <t>Tulem aasta lõpuks</t>
  </si>
  <si>
    <t>27.12.2016.a. otsus</t>
  </si>
  <si>
    <t xml:space="preserve">2017.a. EELARVE </t>
  </si>
  <si>
    <t>´__.__.2017</t>
  </si>
  <si>
    <t>Lisa 2.2</t>
  </si>
  <si>
    <t>Eelarve, €</t>
  </si>
  <si>
    <t>s.h.</t>
  </si>
  <si>
    <t>grupp/nr.</t>
  </si>
  <si>
    <t>EPIK võrgustik</t>
  </si>
  <si>
    <t>maj. teg.</t>
  </si>
  <si>
    <t>haldus</t>
  </si>
  <si>
    <t>Eelarve suhtes</t>
  </si>
  <si>
    <t xml:space="preserve">´+/- </t>
  </si>
  <si>
    <t>Kodumaine sihtfinan. (HMN)</t>
  </si>
  <si>
    <t>Antud sihtfinantseerimine tegevuskuludeks</t>
  </si>
  <si>
    <t>Tegevused HMN toetuse reservist</t>
  </si>
  <si>
    <t>Tagasimakstud välissihtfinants. (ESF proj.)</t>
  </si>
  <si>
    <t>Muu mittesiht.fin. (antud toetus Koni sihtk.)</t>
  </si>
  <si>
    <t>TEGEVUSKULUD (eelarve koondgrupp)</t>
  </si>
  <si>
    <t>TÖÖJÕUKULUD</t>
  </si>
  <si>
    <t>TÖÖTASU</t>
  </si>
  <si>
    <t>Töötajate töötasu</t>
  </si>
  <si>
    <t>Juhataja töötasud</t>
  </si>
  <si>
    <t xml:space="preserve">Lepinguliste töötajate töötasu sh raamatupidaja  </t>
  </si>
  <si>
    <t>MAJANDAMISKULUD kokku</t>
  </si>
  <si>
    <t>Bürootarbed sh trükised ja infotehnol. tarvikud</t>
  </si>
  <si>
    <t>Sideteenused (tel.+mobiil)</t>
  </si>
  <si>
    <t>Postiteenused</t>
  </si>
  <si>
    <t>Pangateenused</t>
  </si>
  <si>
    <t>Esindus- ja vastuvõtukulud</t>
  </si>
  <si>
    <t>Arvestus- ja auditeerimisteenused</t>
  </si>
  <si>
    <t>Lühiajaliste lähetuste sh sõidukulud</t>
  </si>
  <si>
    <t>Koolitusteenused</t>
  </si>
  <si>
    <t>Isikliku transpordi kompensatsioon</t>
  </si>
  <si>
    <t>Muud ebatavalised kulud sh parkimiskaartide trükkimine</t>
  </si>
  <si>
    <t>Tasutud käibemaks</t>
  </si>
  <si>
    <t>27.12.2016.a. otsuse nr. 2016/06</t>
  </si>
  <si>
    <t>kinnitatud 27.12.2016</t>
  </si>
  <si>
    <t>Toetuse jaotamise põhimõtted SA EPI Fond Nõukogu 27.12.2016 koosoleku protokolli 2016/06 Lisa 1.1</t>
  </si>
  <si>
    <t>Tulu  parkimiskaartide trükkimiseks ja administreerimiseks</t>
  </si>
  <si>
    <t>Kodumaise sihtfinantseerimise vahendamine tegevuskuludeks (HMN) Lisa 3.1</t>
  </si>
  <si>
    <t>Protokolli 2016/06 Lisa 3</t>
  </si>
  <si>
    <t>Hasartmängumaksu  Nõukogu (HMN) toetuse vahendamine Eesti Puuetega Inimeste Koja (EPIK) liikmesorganisatsioonidele (Lisa 3.1)</t>
  </si>
  <si>
    <t>Liitude toetus aastal 2017 sh halduskulu (kokku EPIK võrgustik jaotatakse 950 000 €</t>
  </si>
  <si>
    <t xml:space="preserve">Maakondade toetus aastal 2017  (kokku EPIK võrgustik jaotatakse 950 000 € </t>
  </si>
  <si>
    <t>Arvutuslik võrreldes           eraldatud 2016,             €    /      %</t>
  </si>
  <si>
    <t>täitmine 31.08.2017</t>
  </si>
  <si>
    <t xml:space="preserve">Maakondade toetus aastal 2018  (kokku EPIK võrgustik jaotatakse 950 000 € </t>
  </si>
  <si>
    <t>Liitude toetus aastal 2018 sh halduskulu (kokku EPIK võrgustik jaotatakse 950 000 €</t>
  </si>
  <si>
    <t xml:space="preserve">SA EPI File HMN eraldatud 2018.a.  toetuse vahendamine EPI Kojale ja liikmesorg.-le </t>
  </si>
  <si>
    <r>
      <t xml:space="preserve"> 2018.a.</t>
    </r>
    <r>
      <rPr>
        <b/>
        <i/>
        <sz val="11"/>
        <rFont val="Times New Roman Baltic"/>
        <charset val="186"/>
      </rPr>
      <t xml:space="preserve"> toetus, €</t>
    </r>
  </si>
  <si>
    <t>2018.a.</t>
  </si>
  <si>
    <t>Netotulu aastal 2016</t>
  </si>
  <si>
    <t xml:space="preserve"> 2017.a. toetus, €</t>
  </si>
  <si>
    <t>SA EPI Fond nõukogu protokolli 2017/06 Lisa 3.1.1</t>
  </si>
  <si>
    <t>SA EPI Fond nõukogu protokolli 2017/06 Lisa 1.1.2</t>
  </si>
  <si>
    <t>Nõukogu liikme sõidukulud</t>
  </si>
  <si>
    <t>Toetuse jaotamise põhimõtted SA EPI Fond Nõukogu 28.12.2017 koosoleku protokolli 2017/06 Lisa 1.1</t>
  </si>
  <si>
    <t>Trükised, videoklipid ja muud tarvikud</t>
  </si>
  <si>
    <t>Eero Kiipli</t>
  </si>
  <si>
    <t>Muud admin.kulud raamtup.</t>
  </si>
  <si>
    <t>Lepinguliste töötajate töötasu.</t>
  </si>
  <si>
    <t>EPIFond</t>
  </si>
  <si>
    <t xml:space="preserve">Muud kulud </t>
  </si>
  <si>
    <t>toetused</t>
  </si>
  <si>
    <t>Toetused Eesti Puuetega Inimeste Koja (EPIK) liikmesorganisatsioonidele ja psüühikahäiretega inimeste organisatsioonidele</t>
  </si>
  <si>
    <t>Antud sihtfinantseerimine  tegevuskuludeks</t>
  </si>
  <si>
    <t xml:space="preserve">Kodumaine sihtfinan. </t>
  </si>
  <si>
    <t>Infotehnoloogia tarkvara</t>
  </si>
  <si>
    <t>Esindus- ja vastuvõtukulud sh.lähetused</t>
  </si>
  <si>
    <t>Erasmus + projekt</t>
  </si>
  <si>
    <t>Välisabi tegevuskuludeks</t>
  </si>
  <si>
    <t>Välisabi</t>
  </si>
  <si>
    <t>Kodumaise sihtfinantseerimise vahendamine tegevuskuludeks</t>
  </si>
  <si>
    <t>Riigieelarvelisest laekumistest toetus EPI Koja võrgustikule ja psüühikahäiretega inimeste organisatsioonidele</t>
  </si>
  <si>
    <t>04.12.2024.a. otsus</t>
  </si>
  <si>
    <t>SA EPIFond EELARVE 2025-2026 märts</t>
  </si>
  <si>
    <t xml:space="preserve">2025-2026 märts EELARVE </t>
  </si>
  <si>
    <t>Likvideerimine 2026 jaanuar-märts</t>
  </si>
  <si>
    <t>Tulem 2026 märtsi lõpuks</t>
  </si>
  <si>
    <t>Tulem 2026 aasta märtsi lõpuks</t>
  </si>
  <si>
    <t>Protokolli 2024/08 Lisa 2</t>
  </si>
  <si>
    <t>Protokolli 2024/08 Lisa 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</si>
</sst>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00"/>
    <numFmt numFmtId="166" formatCode="#,##0.000"/>
    <numFmt numFmtId="167" formatCode="0.0"/>
    <numFmt numFmtId="168" formatCode="#,##0.00000"/>
  </numFmts>
  <fonts count="100">
    <font>
      <sz val="11"/>
      <color theme="1"/>
      <name val="Calibri"/>
      <family val="2"/>
      <charset val="186"/>
      <scheme val="minor"/>
    </font>
    <font>
      <sz val="9"/>
      <name val="Times New Roman Baltic"/>
    </font>
    <font>
      <b/>
      <sz val="9"/>
      <name val="Times New Roman Baltic"/>
      <charset val="186"/>
    </font>
    <font>
      <i/>
      <sz val="9"/>
      <name val="Times New Roman Baltic"/>
      <charset val="186"/>
    </font>
    <font>
      <sz val="9"/>
      <name val="Times New Roman Baltic"/>
      <charset val="186"/>
    </font>
    <font>
      <sz val="9"/>
      <color rgb="FFFF0000"/>
      <name val="Times New Roman Baltic"/>
      <charset val="186"/>
    </font>
    <font>
      <b/>
      <sz val="9"/>
      <color rgb="FFFF0000"/>
      <name val="Times New Roman Baltic"/>
      <charset val="186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sz val="9"/>
      <name val="Times New Roman Baltic"/>
      <family val="1"/>
      <charset val="186"/>
    </font>
    <font>
      <sz val="9"/>
      <name val="Arial"/>
      <family val="2"/>
    </font>
    <font>
      <sz val="9"/>
      <color rgb="FFFF0000"/>
      <name val="Arial"/>
      <family val="2"/>
    </font>
    <font>
      <sz val="9"/>
      <color rgb="FFFF0000"/>
      <name val="Times New Roman Baltic"/>
    </font>
    <font>
      <sz val="9"/>
      <name val="Arial"/>
      <family val="2"/>
      <charset val="186"/>
    </font>
    <font>
      <sz val="9"/>
      <color rgb="FFFF0000"/>
      <name val="Arial"/>
      <family val="2"/>
      <charset val="186"/>
    </font>
    <font>
      <sz val="9"/>
      <color rgb="FFFF0000"/>
      <name val="Times New Roman Baltic"/>
      <family val="1"/>
      <charset val="186"/>
    </font>
    <font>
      <sz val="9"/>
      <name val="Times New Roman"/>
      <family val="1"/>
      <charset val="186"/>
    </font>
    <font>
      <i/>
      <sz val="9"/>
      <color rgb="FFFF0000"/>
      <name val="Times New Roman Baltic"/>
      <charset val="186"/>
    </font>
    <font>
      <b/>
      <sz val="9"/>
      <color rgb="FF00B050"/>
      <name val="Times New Roman Baltic"/>
      <charset val="186"/>
    </font>
    <font>
      <b/>
      <u/>
      <sz val="9"/>
      <color rgb="FFFF0000"/>
      <name val="Times New Roman Baltic"/>
      <charset val="186"/>
    </font>
    <font>
      <b/>
      <sz val="9"/>
      <color rgb="FFFF0000"/>
      <name val="Arial"/>
      <family val="2"/>
      <charset val="186"/>
    </font>
    <font>
      <b/>
      <sz val="9"/>
      <name val="Arial"/>
      <family val="2"/>
      <charset val="186"/>
    </font>
    <font>
      <b/>
      <u/>
      <sz val="9"/>
      <name val="Times New Roman Baltic"/>
      <charset val="186"/>
    </font>
    <font>
      <u/>
      <sz val="9"/>
      <name val="Times New Roman Baltic"/>
      <family val="1"/>
      <charset val="186"/>
    </font>
    <font>
      <u/>
      <sz val="9"/>
      <name val="Times New Roman Baltic"/>
      <charset val="186"/>
    </font>
    <font>
      <u/>
      <sz val="9"/>
      <name val="Times New Roman Baltic"/>
    </font>
    <font>
      <i/>
      <sz val="9"/>
      <name val="Times New Roman Baltic"/>
    </font>
    <font>
      <i/>
      <sz val="9"/>
      <name val="Times New Roman Baltic"/>
      <family val="1"/>
      <charset val="186"/>
    </font>
    <font>
      <i/>
      <sz val="9"/>
      <color rgb="FF0070C0"/>
      <name val="Times New Roman Baltic"/>
      <charset val="186"/>
    </font>
    <font>
      <sz val="9"/>
      <color rgb="FF0070C0"/>
      <name val="Times New Roman Baltic"/>
      <charset val="186"/>
    </font>
    <font>
      <b/>
      <sz val="9"/>
      <name val="Times New Roman Baltic"/>
    </font>
    <font>
      <b/>
      <i/>
      <sz val="9"/>
      <name val="Times New Roman Baltic"/>
      <charset val="186"/>
    </font>
    <font>
      <sz val="9"/>
      <color rgb="FF00B050"/>
      <name val="Times New Roman Baltic"/>
      <charset val="186"/>
    </font>
    <font>
      <b/>
      <i/>
      <sz val="9"/>
      <color rgb="FFFF0000"/>
      <name val="Times New Roman Baltic"/>
      <charset val="186"/>
    </font>
    <font>
      <sz val="9"/>
      <color rgb="FF00B050"/>
      <name val="Times New Roman Baltic"/>
    </font>
    <font>
      <i/>
      <sz val="9"/>
      <color rgb="FF005426"/>
      <name val="Times New Roman Baltic"/>
      <charset val="186"/>
    </font>
    <font>
      <i/>
      <u/>
      <sz val="9"/>
      <name val="Times New Roman Baltic"/>
      <charset val="186"/>
    </font>
    <font>
      <sz val="9"/>
      <color theme="1"/>
      <name val="Calibri"/>
      <family val="2"/>
      <charset val="186"/>
      <scheme val="minor"/>
    </font>
    <font>
      <b/>
      <sz val="9"/>
      <name val="Times New Roman"/>
      <family val="1"/>
      <charset val="186"/>
    </font>
    <font>
      <sz val="8"/>
      <name val="Times New Roman Baltic"/>
    </font>
    <font>
      <sz val="8"/>
      <name val="Times New Roman Baltic"/>
      <charset val="186"/>
    </font>
    <font>
      <sz val="8"/>
      <color rgb="FFFF0000"/>
      <name val="Times New Roman Baltic"/>
    </font>
    <font>
      <sz val="8"/>
      <name val="Times New Roman"/>
      <family val="1"/>
      <charset val="186"/>
    </font>
    <font>
      <sz val="8"/>
      <name val="Calibri"/>
      <family val="2"/>
      <charset val="186"/>
      <scheme val="minor"/>
    </font>
    <font>
      <sz val="8"/>
      <name val="Arial"/>
      <family val="2"/>
    </font>
    <font>
      <sz val="8"/>
      <color rgb="FFFF0000"/>
      <name val="Arial"/>
      <family val="2"/>
    </font>
    <font>
      <sz val="8"/>
      <name val="Times New Roman Baltic"/>
      <family val="1"/>
      <charset val="186"/>
    </font>
    <font>
      <b/>
      <sz val="8"/>
      <color rgb="FFFF0000"/>
      <name val="Times New Roman Baltic"/>
      <charset val="186"/>
    </font>
    <font>
      <b/>
      <u/>
      <sz val="8"/>
      <color rgb="FFFF0000"/>
      <name val="Times New Roman Baltic"/>
      <charset val="186"/>
    </font>
    <font>
      <b/>
      <sz val="8"/>
      <color rgb="FFFF0000"/>
      <name val="Arial"/>
      <family val="2"/>
      <charset val="186"/>
    </font>
    <font>
      <b/>
      <sz val="8"/>
      <name val="Arial"/>
      <family val="2"/>
      <charset val="186"/>
    </font>
    <font>
      <u/>
      <sz val="8"/>
      <name val="Times New Roman Baltic"/>
      <charset val="186"/>
    </font>
    <font>
      <u/>
      <sz val="8"/>
      <name val="Times New Roman Baltic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sz val="11"/>
      <name val="Times New Roman Baltic"/>
      <charset val="186"/>
    </font>
    <font>
      <sz val="10"/>
      <name val="Times New Roman Baltic"/>
      <charset val="186"/>
    </font>
    <font>
      <b/>
      <sz val="11"/>
      <name val="Times New Roman Baltic"/>
      <charset val="186"/>
    </font>
    <font>
      <b/>
      <sz val="10"/>
      <name val="Times New Roman Baltic"/>
      <charset val="186"/>
    </font>
    <font>
      <b/>
      <i/>
      <sz val="11"/>
      <name val="Times New Roman Baltic"/>
      <charset val="186"/>
    </font>
    <font>
      <b/>
      <i/>
      <sz val="11"/>
      <color indexed="10"/>
      <name val="Times New Roman Baltic"/>
      <charset val="186"/>
    </font>
    <font>
      <i/>
      <sz val="10"/>
      <name val="Times New Roman Baltic"/>
      <charset val="186"/>
    </font>
    <font>
      <sz val="10"/>
      <color indexed="10"/>
      <name val="Times New Roman Baltic"/>
      <charset val="186"/>
    </font>
    <font>
      <sz val="10"/>
      <color rgb="FFFF0000"/>
      <name val="Times New Roman Baltic"/>
      <charset val="186"/>
    </font>
    <font>
      <b/>
      <i/>
      <sz val="11"/>
      <color rgb="FFFF0000"/>
      <name val="Times New Roman Baltic"/>
      <charset val="186"/>
    </font>
    <font>
      <sz val="10"/>
      <name val="Arial"/>
      <family val="2"/>
      <charset val="186"/>
    </font>
    <font>
      <sz val="10"/>
      <name val="Times New Roman Baltic"/>
    </font>
    <font>
      <sz val="12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indexed="10"/>
      <name val="Arial"/>
      <family val="2"/>
      <charset val="186"/>
    </font>
    <font>
      <b/>
      <sz val="12"/>
      <color indexed="10"/>
      <name val="Arial"/>
      <family val="2"/>
      <charset val="186"/>
    </font>
    <font>
      <b/>
      <u/>
      <sz val="16"/>
      <name val="Arial"/>
      <family val="2"/>
      <charset val="186"/>
    </font>
    <font>
      <sz val="16"/>
      <name val="Arial"/>
      <family val="2"/>
      <charset val="186"/>
    </font>
    <font>
      <b/>
      <u/>
      <sz val="15"/>
      <name val="Arial"/>
      <family val="2"/>
      <charset val="186"/>
    </font>
    <font>
      <b/>
      <sz val="14"/>
      <name val="Arial"/>
      <family val="2"/>
      <charset val="186"/>
    </font>
    <font>
      <sz val="14"/>
      <name val="Arial"/>
      <family val="2"/>
      <charset val="186"/>
    </font>
    <font>
      <b/>
      <sz val="16"/>
      <name val="Arial"/>
      <family val="2"/>
      <charset val="186"/>
    </font>
    <font>
      <b/>
      <sz val="10"/>
      <color indexed="10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1"/>
      <name val="Arial"/>
      <family val="2"/>
      <charset val="186"/>
    </font>
    <font>
      <b/>
      <u/>
      <sz val="10"/>
      <name val="Arial"/>
      <family val="2"/>
      <charset val="186"/>
    </font>
    <font>
      <b/>
      <i/>
      <sz val="8"/>
      <name val="Times New Roman Baltic"/>
      <charset val="186"/>
    </font>
    <font>
      <sz val="10"/>
      <color theme="1"/>
      <name val="Calibri"/>
      <family val="2"/>
      <charset val="186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  <font>
      <sz val="6"/>
      <color rgb="FF191919"/>
      <name val="Tahoma"/>
      <family val="2"/>
    </font>
    <font>
      <sz val="11"/>
      <color rgb="FFFF0000"/>
      <name val="Calibri"/>
      <family val="2"/>
      <charset val="186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FFFF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90" fillId="0" borderId="0"/>
    <xf numFmtId="0" fontId="91" fillId="0" borderId="0"/>
    <xf numFmtId="0" fontId="92" fillId="0" borderId="0"/>
  </cellStyleXfs>
  <cellXfs count="830">
    <xf numFmtId="0" fontId="0" fillId="0" borderId="0" xfId="0"/>
    <xf numFmtId="0" fontId="1" fillId="2" borderId="21" xfId="0" applyFont="1" applyFill="1" applyBorder="1" applyAlignment="1">
      <alignment horizontal="center" wrapText="1"/>
    </xf>
    <xf numFmtId="0" fontId="2" fillId="3" borderId="21" xfId="0" applyFont="1" applyFill="1" applyBorder="1" applyAlignment="1">
      <alignment horizontal="center" wrapText="1"/>
    </xf>
    <xf numFmtId="0" fontId="4" fillId="0" borderId="11" xfId="0" quotePrefix="1" applyFont="1" applyBorder="1" applyAlignment="1">
      <alignment horizontal="center"/>
    </xf>
    <xf numFmtId="0" fontId="5" fillId="0" borderId="12" xfId="0" quotePrefix="1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5" fillId="0" borderId="12" xfId="0" applyFont="1" applyBorder="1" applyAlignment="1">
      <alignment wrapText="1"/>
    </xf>
    <xf numFmtId="3" fontId="2" fillId="0" borderId="26" xfId="0" applyNumberFormat="1" applyFont="1" applyBorder="1"/>
    <xf numFmtId="3" fontId="2" fillId="0" borderId="32" xfId="0" applyNumberFormat="1" applyFont="1" applyBorder="1"/>
    <xf numFmtId="3" fontId="6" fillId="0" borderId="0" xfId="0" applyNumberFormat="1" applyFont="1"/>
    <xf numFmtId="3" fontId="1" fillId="0" borderId="0" xfId="0" applyNumberFormat="1" applyFont="1" applyAlignment="1">
      <alignment horizontal="center"/>
    </xf>
    <xf numFmtId="3" fontId="5" fillId="2" borderId="0" xfId="0" applyNumberFormat="1" applyFont="1" applyFill="1"/>
    <xf numFmtId="3" fontId="5" fillId="5" borderId="0" xfId="0" applyNumberFormat="1" applyFont="1" applyFill="1"/>
    <xf numFmtId="0" fontId="1" fillId="0" borderId="19" xfId="0" applyFont="1" applyBorder="1" applyAlignment="1">
      <alignment horizontal="center" wrapText="1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9" fillId="2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0" fontId="12" fillId="0" borderId="0" xfId="0" applyFont="1"/>
    <xf numFmtId="0" fontId="1" fillId="0" borderId="0" xfId="0" applyFont="1"/>
    <xf numFmtId="0" fontId="9" fillId="0" borderId="0" xfId="0" applyFont="1" applyAlignment="1">
      <alignment horizontal="center"/>
    </xf>
    <xf numFmtId="0" fontId="9" fillId="2" borderId="0" xfId="0" applyFont="1" applyFill="1"/>
    <xf numFmtId="0" fontId="9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1" fillId="2" borderId="2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/>
    <xf numFmtId="0" fontId="4" fillId="0" borderId="4" xfId="0" applyFont="1" applyBorder="1"/>
    <xf numFmtId="3" fontId="1" fillId="0" borderId="4" xfId="0" applyNumberFormat="1" applyFont="1" applyBorder="1"/>
    <xf numFmtId="3" fontId="1" fillId="0" borderId="5" xfId="0" applyNumberFormat="1" applyFont="1" applyBorder="1"/>
    <xf numFmtId="0" fontId="9" fillId="0" borderId="6" xfId="0" applyFont="1" applyBorder="1"/>
    <xf numFmtId="0" fontId="9" fillId="0" borderId="7" xfId="0" applyFont="1" applyBorder="1"/>
    <xf numFmtId="0" fontId="9" fillId="0" borderId="8" xfId="0" applyFont="1" applyBorder="1"/>
    <xf numFmtId="0" fontId="4" fillId="2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vertical="center"/>
    </xf>
    <xf numFmtId="0" fontId="1" fillId="2" borderId="13" xfId="0" applyFont="1" applyFill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4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3" fontId="1" fillId="0" borderId="17" xfId="0" applyNumberFormat="1" applyFont="1" applyBorder="1" applyAlignment="1">
      <alignment wrapText="1"/>
    </xf>
    <xf numFmtId="3" fontId="1" fillId="0" borderId="19" xfId="0" applyNumberFormat="1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9" fillId="2" borderId="1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1" fillId="0" borderId="0" xfId="0" applyFont="1" applyAlignment="1">
      <alignment wrapText="1"/>
    </xf>
    <xf numFmtId="1" fontId="1" fillId="2" borderId="24" xfId="0" applyNumberFormat="1" applyFont="1" applyFill="1" applyBorder="1"/>
    <xf numFmtId="1" fontId="1" fillId="0" borderId="25" xfId="0" applyNumberFormat="1" applyFont="1" applyBorder="1"/>
    <xf numFmtId="0" fontId="1" fillId="0" borderId="26" xfId="0" applyFont="1" applyBorder="1" applyAlignment="1">
      <alignment horizontal="right"/>
    </xf>
    <xf numFmtId="1" fontId="1" fillId="0" borderId="24" xfId="0" applyNumberFormat="1" applyFont="1" applyBorder="1"/>
    <xf numFmtId="1" fontId="4" fillId="0" borderId="27" xfId="0" applyNumberFormat="1" applyFont="1" applyBorder="1"/>
    <xf numFmtId="1" fontId="1" fillId="0" borderId="28" xfId="0" applyNumberFormat="1" applyFont="1" applyBorder="1"/>
    <xf numFmtId="3" fontId="1" fillId="0" borderId="28" xfId="0" applyNumberFormat="1" applyFont="1" applyBorder="1"/>
    <xf numFmtId="3" fontId="1" fillId="0" borderId="29" xfId="0" applyNumberFormat="1" applyFont="1" applyBorder="1"/>
    <xf numFmtId="3" fontId="1" fillId="0" borderId="25" xfId="0" applyNumberFormat="1" applyFont="1" applyBorder="1"/>
    <xf numFmtId="3" fontId="1" fillId="2" borderId="30" xfId="0" applyNumberFormat="1" applyFont="1" applyFill="1" applyBorder="1"/>
    <xf numFmtId="3" fontId="2" fillId="3" borderId="30" xfId="0" applyNumberFormat="1" applyFont="1" applyFill="1" applyBorder="1"/>
    <xf numFmtId="3" fontId="3" fillId="2" borderId="10" xfId="0" applyNumberFormat="1" applyFont="1" applyFill="1" applyBorder="1"/>
    <xf numFmtId="164" fontId="3" fillId="0" borderId="10" xfId="0" applyNumberFormat="1" applyFont="1" applyBorder="1"/>
    <xf numFmtId="3" fontId="1" fillId="2" borderId="31" xfId="0" applyNumberFormat="1" applyFont="1" applyFill="1" applyBorder="1"/>
    <xf numFmtId="3" fontId="12" fillId="2" borderId="0" xfId="0" applyNumberFormat="1" applyFont="1" applyFill="1"/>
    <xf numFmtId="0" fontId="1" fillId="2" borderId="100" xfId="0" quotePrefix="1" applyFont="1" applyFill="1" applyBorder="1" applyAlignment="1">
      <alignment horizontal="left"/>
    </xf>
    <xf numFmtId="0" fontId="1" fillId="2" borderId="101" xfId="0" quotePrefix="1" applyFont="1" applyFill="1" applyBorder="1" applyAlignment="1">
      <alignment horizontal="right"/>
    </xf>
    <xf numFmtId="1" fontId="6" fillId="4" borderId="101" xfId="0" applyNumberFormat="1" applyFont="1" applyFill="1" applyBorder="1"/>
    <xf numFmtId="1" fontId="4" fillId="2" borderId="101" xfId="0" applyNumberFormat="1" applyFont="1" applyFill="1" applyBorder="1"/>
    <xf numFmtId="3" fontId="4" fillId="2" borderId="101" xfId="0" applyNumberFormat="1" applyFont="1" applyFill="1" applyBorder="1"/>
    <xf numFmtId="3" fontId="16" fillId="0" borderId="101" xfId="0" applyNumberFormat="1" applyFont="1" applyBorder="1" applyAlignment="1">
      <alignment wrapText="1"/>
    </xf>
    <xf numFmtId="3" fontId="6" fillId="4" borderId="101" xfId="0" applyNumberFormat="1" applyFont="1" applyFill="1" applyBorder="1"/>
    <xf numFmtId="1" fontId="1" fillId="0" borderId="101" xfId="0" applyNumberFormat="1" applyFont="1" applyBorder="1"/>
    <xf numFmtId="3" fontId="1" fillId="0" borderId="101" xfId="0" applyNumberFormat="1" applyFont="1" applyBorder="1"/>
    <xf numFmtId="3" fontId="1" fillId="2" borderId="101" xfId="0" applyNumberFormat="1" applyFont="1" applyFill="1" applyBorder="1"/>
    <xf numFmtId="3" fontId="17" fillId="2" borderId="101" xfId="0" applyNumberFormat="1" applyFont="1" applyFill="1" applyBorder="1"/>
    <xf numFmtId="164" fontId="3" fillId="0" borderId="101" xfId="0" applyNumberFormat="1" applyFont="1" applyBorder="1"/>
    <xf numFmtId="3" fontId="1" fillId="0" borderId="102" xfId="0" applyNumberFormat="1" applyFont="1" applyBorder="1"/>
    <xf numFmtId="3" fontId="11" fillId="0" borderId="0" xfId="0" applyNumberFormat="1" applyFont="1"/>
    <xf numFmtId="3" fontId="12" fillId="0" borderId="0" xfId="0" applyNumberFormat="1" applyFont="1"/>
    <xf numFmtId="3" fontId="1" fillId="0" borderId="0" xfId="0" applyNumberFormat="1" applyFont="1"/>
    <xf numFmtId="0" fontId="1" fillId="2" borderId="103" xfId="0" quotePrefix="1" applyFont="1" applyFill="1" applyBorder="1" applyAlignment="1">
      <alignment horizontal="left"/>
    </xf>
    <xf numFmtId="0" fontId="1" fillId="2" borderId="104" xfId="0" quotePrefix="1" applyFont="1" applyFill="1" applyBorder="1" applyAlignment="1">
      <alignment horizontal="right"/>
    </xf>
    <xf numFmtId="1" fontId="18" fillId="4" borderId="104" xfId="0" applyNumberFormat="1" applyFont="1" applyFill="1" applyBorder="1"/>
    <xf numFmtId="1" fontId="4" fillId="2" borderId="104" xfId="0" applyNumberFormat="1" applyFont="1" applyFill="1" applyBorder="1"/>
    <xf numFmtId="3" fontId="4" fillId="2" borderId="104" xfId="0" applyNumberFormat="1" applyFont="1" applyFill="1" applyBorder="1"/>
    <xf numFmtId="3" fontId="16" fillId="0" borderId="104" xfId="0" applyNumberFormat="1" applyFont="1" applyBorder="1" applyAlignment="1">
      <alignment wrapText="1"/>
    </xf>
    <xf numFmtId="3" fontId="18" fillId="4" borderId="104" xfId="0" applyNumberFormat="1" applyFont="1" applyFill="1" applyBorder="1"/>
    <xf numFmtId="1" fontId="18" fillId="2" borderId="104" xfId="0" applyNumberFormat="1" applyFont="1" applyFill="1" applyBorder="1"/>
    <xf numFmtId="1" fontId="1" fillId="0" borderId="104" xfId="0" applyNumberFormat="1" applyFont="1" applyBorder="1"/>
    <xf numFmtId="3" fontId="1" fillId="0" borderId="104" xfId="0" applyNumberFormat="1" applyFont="1" applyBorder="1"/>
    <xf numFmtId="3" fontId="1" fillId="2" borderId="104" xfId="0" applyNumberFormat="1" applyFont="1" applyFill="1" applyBorder="1"/>
    <xf numFmtId="3" fontId="2" fillId="3" borderId="104" xfId="0" applyNumberFormat="1" applyFont="1" applyFill="1" applyBorder="1"/>
    <xf numFmtId="3" fontId="3" fillId="2" borderId="104" xfId="0" applyNumberFormat="1" applyFont="1" applyFill="1" applyBorder="1"/>
    <xf numFmtId="164" fontId="3" fillId="0" borderId="104" xfId="0" applyNumberFormat="1" applyFont="1" applyBorder="1"/>
    <xf numFmtId="3" fontId="1" fillId="0" borderId="105" xfId="0" applyNumberFormat="1" applyFont="1" applyBorder="1"/>
    <xf numFmtId="3" fontId="14" fillId="0" borderId="0" xfId="0" applyNumberFormat="1" applyFont="1"/>
    <xf numFmtId="1" fontId="4" fillId="4" borderId="104" xfId="0" applyNumberFormat="1" applyFont="1" applyFill="1" applyBorder="1"/>
    <xf numFmtId="1" fontId="1" fillId="4" borderId="104" xfId="0" applyNumberFormat="1" applyFont="1" applyFill="1" applyBorder="1"/>
    <xf numFmtId="3" fontId="4" fillId="4" borderId="104" xfId="0" applyNumberFormat="1" applyFont="1" applyFill="1" applyBorder="1"/>
    <xf numFmtId="3" fontId="17" fillId="2" borderId="104" xfId="0" applyNumberFormat="1" applyFont="1" applyFill="1" applyBorder="1"/>
    <xf numFmtId="1" fontId="6" fillId="4" borderId="104" xfId="0" applyNumberFormat="1" applyFont="1" applyFill="1" applyBorder="1"/>
    <xf numFmtId="3" fontId="4" fillId="0" borderId="104" xfId="0" applyNumberFormat="1" applyFont="1" applyBorder="1"/>
    <xf numFmtId="3" fontId="6" fillId="4" borderId="104" xfId="0" applyNumberFormat="1" applyFont="1" applyFill="1" applyBorder="1"/>
    <xf numFmtId="1" fontId="6" fillId="2" borderId="104" xfId="0" applyNumberFormat="1" applyFont="1" applyFill="1" applyBorder="1"/>
    <xf numFmtId="164" fontId="3" fillId="2" borderId="104" xfId="0" applyNumberFormat="1" applyFont="1" applyFill="1" applyBorder="1"/>
    <xf numFmtId="1" fontId="4" fillId="0" borderId="104" xfId="0" applyNumberFormat="1" applyFont="1" applyBorder="1"/>
    <xf numFmtId="0" fontId="4" fillId="4" borderId="104" xfId="0" applyFont="1" applyFill="1" applyBorder="1"/>
    <xf numFmtId="1" fontId="4" fillId="4" borderId="104" xfId="0" applyNumberFormat="1" applyFont="1" applyFill="1" applyBorder="1" applyAlignment="1">
      <alignment horizontal="right"/>
    </xf>
    <xf numFmtId="3" fontId="4" fillId="2" borderId="104" xfId="0" applyNumberFormat="1" applyFont="1" applyFill="1" applyBorder="1" applyAlignment="1">
      <alignment horizontal="right"/>
    </xf>
    <xf numFmtId="3" fontId="1" fillId="2" borderId="105" xfId="0" applyNumberFormat="1" applyFont="1" applyFill="1" applyBorder="1"/>
    <xf numFmtId="0" fontId="1" fillId="2" borderId="106" xfId="0" quotePrefix="1" applyFont="1" applyFill="1" applyBorder="1" applyAlignment="1">
      <alignment horizontal="left"/>
    </xf>
    <xf numFmtId="0" fontId="1" fillId="2" borderId="107" xfId="0" quotePrefix="1" applyFont="1" applyFill="1" applyBorder="1" applyAlignment="1">
      <alignment horizontal="right"/>
    </xf>
    <xf numFmtId="1" fontId="1" fillId="4" borderId="107" xfId="0" applyNumberFormat="1" applyFont="1" applyFill="1" applyBorder="1"/>
    <xf numFmtId="1" fontId="4" fillId="4" borderId="107" xfId="0" applyNumberFormat="1" applyFont="1" applyFill="1" applyBorder="1" applyAlignment="1">
      <alignment horizontal="right"/>
    </xf>
    <xf numFmtId="1" fontId="4" fillId="2" borderId="107" xfId="0" applyNumberFormat="1" applyFont="1" applyFill="1" applyBorder="1"/>
    <xf numFmtId="3" fontId="4" fillId="2" borderId="107" xfId="0" applyNumberFormat="1" applyFont="1" applyFill="1" applyBorder="1" applyAlignment="1">
      <alignment horizontal="right"/>
    </xf>
    <xf numFmtId="3" fontId="16" fillId="0" borderId="107" xfId="0" applyNumberFormat="1" applyFont="1" applyBorder="1" applyAlignment="1">
      <alignment wrapText="1"/>
    </xf>
    <xf numFmtId="3" fontId="4" fillId="4" borderId="107" xfId="0" applyNumberFormat="1" applyFont="1" applyFill="1" applyBorder="1"/>
    <xf numFmtId="1" fontId="1" fillId="0" borderId="107" xfId="0" applyNumberFormat="1" applyFont="1" applyBorder="1"/>
    <xf numFmtId="3" fontId="1" fillId="0" borderId="107" xfId="0" applyNumberFormat="1" applyFont="1" applyBorder="1"/>
    <xf numFmtId="3" fontId="1" fillId="2" borderId="107" xfId="0" applyNumberFormat="1" applyFont="1" applyFill="1" applyBorder="1"/>
    <xf numFmtId="3" fontId="2" fillId="3" borderId="107" xfId="0" applyNumberFormat="1" applyFont="1" applyFill="1" applyBorder="1"/>
    <xf numFmtId="3" fontId="3" fillId="2" borderId="107" xfId="0" applyNumberFormat="1" applyFont="1" applyFill="1" applyBorder="1"/>
    <xf numFmtId="164" fontId="3" fillId="2" borderId="107" xfId="0" applyNumberFormat="1" applyFont="1" applyFill="1" applyBorder="1"/>
    <xf numFmtId="3" fontId="1" fillId="2" borderId="108" xfId="0" applyNumberFormat="1" applyFont="1" applyFill="1" applyBorder="1"/>
    <xf numFmtId="0" fontId="1" fillId="2" borderId="0" xfId="0" quotePrefix="1" applyFont="1" applyFill="1" applyAlignment="1">
      <alignment horizontal="left"/>
    </xf>
    <xf numFmtId="0" fontId="19" fillId="2" borderId="0" xfId="0" quotePrefix="1" applyFont="1" applyFill="1" applyAlignment="1">
      <alignment horizontal="left"/>
    </xf>
    <xf numFmtId="0" fontId="1" fillId="6" borderId="0" xfId="0" applyFont="1" applyFill="1" applyAlignment="1">
      <alignment horizontal="left"/>
    </xf>
    <xf numFmtId="1" fontId="1" fillId="0" borderId="0" xfId="0" applyNumberFormat="1" applyFont="1"/>
    <xf numFmtId="1" fontId="4" fillId="0" borderId="0" xfId="0" applyNumberFormat="1" applyFont="1"/>
    <xf numFmtId="3" fontId="20" fillId="7" borderId="14" xfId="0" applyNumberFormat="1" applyFont="1" applyFill="1" applyBorder="1" applyAlignment="1">
      <alignment horizontal="center" vertical="center"/>
    </xf>
    <xf numFmtId="0" fontId="10" fillId="0" borderId="0" xfId="0" applyFont="1"/>
    <xf numFmtId="0" fontId="1" fillId="2" borderId="0" xfId="0" applyFont="1" applyFill="1"/>
    <xf numFmtId="0" fontId="4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left"/>
    </xf>
    <xf numFmtId="3" fontId="23" fillId="0" borderId="0" xfId="0" applyNumberFormat="1" applyFont="1"/>
    <xf numFmtId="0" fontId="23" fillId="0" borderId="0" xfId="0" applyFont="1"/>
    <xf numFmtId="1" fontId="4" fillId="0" borderId="0" xfId="0" applyNumberFormat="1" applyFont="1" applyAlignment="1">
      <alignment horizontal="center"/>
    </xf>
    <xf numFmtId="0" fontId="23" fillId="2" borderId="0" xfId="0" applyFont="1" applyFill="1"/>
    <xf numFmtId="4" fontId="1" fillId="0" borderId="0" xfId="0" applyNumberFormat="1" applyFont="1" applyAlignment="1">
      <alignment horizontal="left"/>
    </xf>
    <xf numFmtId="3" fontId="24" fillId="0" borderId="0" xfId="0" applyNumberFormat="1" applyFont="1"/>
    <xf numFmtId="3" fontId="9" fillId="0" borderId="0" xfId="0" applyNumberFormat="1" applyFont="1"/>
    <xf numFmtId="3" fontId="19" fillId="2" borderId="0" xfId="0" applyNumberFormat="1" applyFont="1" applyFill="1"/>
    <xf numFmtId="4" fontId="1" fillId="0" borderId="0" xfId="0" applyNumberFormat="1" applyFont="1"/>
    <xf numFmtId="0" fontId="1" fillId="0" borderId="34" xfId="0" applyFont="1" applyBorder="1"/>
    <xf numFmtId="3" fontId="1" fillId="0" borderId="34" xfId="0" applyNumberFormat="1" applyFont="1" applyBorder="1"/>
    <xf numFmtId="0" fontId="26" fillId="0" borderId="35" xfId="0" applyFont="1" applyBorder="1"/>
    <xf numFmtId="0" fontId="1" fillId="0" borderId="35" xfId="0" applyFont="1" applyBorder="1"/>
    <xf numFmtId="3" fontId="27" fillId="0" borderId="35" xfId="0" applyNumberFormat="1" applyFont="1" applyBorder="1"/>
    <xf numFmtId="3" fontId="27" fillId="2" borderId="35" xfId="0" applyNumberFormat="1" applyFont="1" applyFill="1" applyBorder="1"/>
    <xf numFmtId="3" fontId="18" fillId="4" borderId="31" xfId="0" applyNumberFormat="1" applyFont="1" applyFill="1" applyBorder="1"/>
    <xf numFmtId="3" fontId="28" fillId="8" borderId="0" xfId="0" applyNumberFormat="1" applyFont="1" applyFill="1" applyAlignment="1">
      <alignment horizontal="right"/>
    </xf>
    <xf numFmtId="3" fontId="29" fillId="8" borderId="0" xfId="0" applyNumberFormat="1" applyFont="1" applyFill="1" applyAlignment="1">
      <alignment horizontal="center"/>
    </xf>
    <xf numFmtId="3" fontId="28" fillId="8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3" fontId="4" fillId="0" borderId="0" xfId="0" applyNumberFormat="1" applyFont="1"/>
    <xf numFmtId="3" fontId="25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3" fontId="4" fillId="2" borderId="37" xfId="0" applyNumberFormat="1" applyFont="1" applyFill="1" applyBorder="1" applyAlignment="1">
      <alignment horizontal="center" vertical="center"/>
    </xf>
    <xf numFmtId="3" fontId="4" fillId="0" borderId="38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16" fillId="0" borderId="0" xfId="0" applyNumberFormat="1" applyFont="1"/>
    <xf numFmtId="0" fontId="12" fillId="2" borderId="0" xfId="0" applyFont="1" applyFill="1"/>
    <xf numFmtId="166" fontId="6" fillId="4" borderId="0" xfId="0" applyNumberFormat="1" applyFont="1" applyFill="1"/>
    <xf numFmtId="3" fontId="6" fillId="0" borderId="0" xfId="0" applyNumberFormat="1" applyFont="1" applyAlignment="1">
      <alignment horizontal="left" vertical="center"/>
    </xf>
    <xf numFmtId="3" fontId="2" fillId="3" borderId="101" xfId="0" applyNumberFormat="1" applyFont="1" applyFill="1" applyBorder="1"/>
    <xf numFmtId="3" fontId="3" fillId="2" borderId="101" xfId="0" applyNumberFormat="1" applyFont="1" applyFill="1" applyBorder="1"/>
    <xf numFmtId="3" fontId="6" fillId="3" borderId="104" xfId="0" applyNumberFormat="1" applyFont="1" applyFill="1" applyBorder="1"/>
    <xf numFmtId="3" fontId="4" fillId="2" borderId="0" xfId="0" applyNumberFormat="1" applyFont="1" applyFill="1"/>
    <xf numFmtId="3" fontId="17" fillId="5" borderId="104" xfId="0" applyNumberFormat="1" applyFont="1" applyFill="1" applyBorder="1"/>
    <xf numFmtId="3" fontId="14" fillId="5" borderId="0" xfId="0" applyNumberFormat="1" applyFont="1" applyFill="1"/>
    <xf numFmtId="0" fontId="3" fillId="0" borderId="0" xfId="0" applyFont="1"/>
    <xf numFmtId="0" fontId="30" fillId="0" borderId="0" xfId="0" applyFont="1"/>
    <xf numFmtId="0" fontId="11" fillId="0" borderId="0" xfId="0" applyFont="1" applyAlignment="1">
      <alignment horizontal="right"/>
    </xf>
    <xf numFmtId="0" fontId="1" fillId="0" borderId="1" xfId="0" applyFont="1" applyBorder="1"/>
    <xf numFmtId="0" fontId="1" fillId="2" borderId="1" xfId="0" applyFont="1" applyFill="1" applyBorder="1"/>
    <xf numFmtId="0" fontId="4" fillId="0" borderId="1" xfId="0" applyFont="1" applyBorder="1"/>
    <xf numFmtId="0" fontId="30" fillId="0" borderId="1" xfId="0" applyFont="1" applyBorder="1"/>
    <xf numFmtId="0" fontId="5" fillId="0" borderId="0" xfId="0" applyFont="1" applyAlignment="1">
      <alignment horizontal="right"/>
    </xf>
    <xf numFmtId="0" fontId="1" fillId="0" borderId="6" xfId="0" applyFont="1" applyBorder="1"/>
    <xf numFmtId="0" fontId="1" fillId="2" borderId="7" xfId="0" applyFont="1" applyFill="1" applyBorder="1"/>
    <xf numFmtId="0" fontId="1" fillId="0" borderId="7" xfId="0" applyFont="1" applyBorder="1"/>
    <xf numFmtId="0" fontId="4" fillId="0" borderId="40" xfId="0" applyFont="1" applyBorder="1"/>
    <xf numFmtId="0" fontId="3" fillId="9" borderId="41" xfId="0" applyFont="1" applyFill="1" applyBorder="1"/>
    <xf numFmtId="0" fontId="3" fillId="9" borderId="42" xfId="0" applyFont="1" applyFill="1" applyBorder="1"/>
    <xf numFmtId="0" fontId="1" fillId="0" borderId="32" xfId="0" applyFont="1" applyBorder="1"/>
    <xf numFmtId="0" fontId="1" fillId="0" borderId="26" xfId="0" applyFont="1" applyBorder="1"/>
    <xf numFmtId="0" fontId="4" fillId="0" borderId="32" xfId="0" applyFont="1" applyBorder="1"/>
    <xf numFmtId="0" fontId="1" fillId="0" borderId="28" xfId="0" applyFont="1" applyBorder="1"/>
    <xf numFmtId="0" fontId="1" fillId="0" borderId="44" xfId="0" applyFont="1" applyBorder="1"/>
    <xf numFmtId="0" fontId="1" fillId="0" borderId="25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20" xfId="0" applyFont="1" applyFill="1" applyBorder="1" applyAlignment="1">
      <alignment wrapText="1"/>
    </xf>
    <xf numFmtId="0" fontId="4" fillId="0" borderId="45" xfId="0" applyFont="1" applyBorder="1" applyAlignment="1">
      <alignment wrapText="1"/>
    </xf>
    <xf numFmtId="0" fontId="3" fillId="9" borderId="46" xfId="0" applyFont="1" applyFill="1" applyBorder="1" applyAlignment="1">
      <alignment wrapText="1"/>
    </xf>
    <xf numFmtId="0" fontId="3" fillId="9" borderId="47" xfId="0" applyFont="1" applyFill="1" applyBorder="1" applyAlignment="1">
      <alignment wrapText="1"/>
    </xf>
    <xf numFmtId="0" fontId="3" fillId="7" borderId="48" xfId="0" applyFont="1" applyFill="1" applyBorder="1" applyAlignment="1">
      <alignment wrapText="1"/>
    </xf>
    <xf numFmtId="0" fontId="3" fillId="7" borderId="49" xfId="0" applyFont="1" applyFill="1" applyBorder="1" applyAlignment="1">
      <alignment wrapText="1"/>
    </xf>
    <xf numFmtId="0" fontId="1" fillId="0" borderId="44" xfId="0" applyFont="1" applyBorder="1" applyAlignment="1">
      <alignment horizontal="center" wrapText="1"/>
    </xf>
    <xf numFmtId="0" fontId="1" fillId="0" borderId="50" xfId="0" applyFont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0" borderId="44" xfId="0" applyFont="1" applyBorder="1" applyAlignment="1">
      <alignment wrapText="1"/>
    </xf>
    <xf numFmtId="0" fontId="4" fillId="0" borderId="44" xfId="0" applyFont="1" applyBorder="1" applyAlignment="1">
      <alignment wrapText="1"/>
    </xf>
    <xf numFmtId="0" fontId="1" fillId="0" borderId="27" xfId="0" applyFont="1" applyBorder="1" applyAlignment="1">
      <alignment horizontal="center" wrapText="1"/>
    </xf>
    <xf numFmtId="0" fontId="1" fillId="0" borderId="28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30" fillId="3" borderId="21" xfId="0" applyFont="1" applyFill="1" applyBorder="1" applyAlignment="1">
      <alignment horizontal="center" wrapText="1"/>
    </xf>
    <xf numFmtId="1" fontId="2" fillId="0" borderId="29" xfId="0" applyNumberFormat="1" applyFont="1" applyBorder="1"/>
    <xf numFmtId="1" fontId="2" fillId="2" borderId="44" xfId="0" applyNumberFormat="1" applyFont="1" applyFill="1" applyBorder="1"/>
    <xf numFmtId="0" fontId="2" fillId="0" borderId="44" xfId="0" applyFont="1" applyBorder="1" applyAlignment="1">
      <alignment horizontal="right"/>
    </xf>
    <xf numFmtId="1" fontId="2" fillId="0" borderId="27" xfId="0" applyNumberFormat="1" applyFont="1" applyBorder="1"/>
    <xf numFmtId="3" fontId="31" fillId="9" borderId="51" xfId="0" applyNumberFormat="1" applyFont="1" applyFill="1" applyBorder="1"/>
    <xf numFmtId="3" fontId="31" fillId="9" borderId="28" xfId="0" applyNumberFormat="1" applyFont="1" applyFill="1" applyBorder="1"/>
    <xf numFmtId="3" fontId="31" fillId="7" borderId="24" xfId="0" applyNumberFormat="1" applyFont="1" applyFill="1" applyBorder="1"/>
    <xf numFmtId="3" fontId="31" fillId="7" borderId="52" xfId="0" applyNumberFormat="1" applyFont="1" applyFill="1" applyBorder="1"/>
    <xf numFmtId="3" fontId="2" fillId="0" borderId="44" xfId="0" applyNumberFormat="1" applyFont="1" applyBorder="1"/>
    <xf numFmtId="1" fontId="2" fillId="0" borderId="50" xfId="0" applyNumberFormat="1" applyFont="1" applyBorder="1"/>
    <xf numFmtId="3" fontId="2" fillId="0" borderId="25" xfId="0" applyNumberFormat="1" applyFont="1" applyBorder="1"/>
    <xf numFmtId="3" fontId="2" fillId="2" borderId="53" xfId="0" applyNumberFormat="1" applyFont="1" applyFill="1" applyBorder="1"/>
    <xf numFmtId="3" fontId="2" fillId="3" borderId="53" xfId="0" applyNumberFormat="1" applyFont="1" applyFill="1" applyBorder="1"/>
    <xf numFmtId="3" fontId="31" fillId="0" borderId="54" xfId="0" applyNumberFormat="1" applyFont="1" applyBorder="1"/>
    <xf numFmtId="167" fontId="31" fillId="0" borderId="32" xfId="0" applyNumberFormat="1" applyFont="1" applyBorder="1" applyAlignment="1">
      <alignment horizontal="right"/>
    </xf>
    <xf numFmtId="3" fontId="2" fillId="0" borderId="27" xfId="0" applyNumberFormat="1" applyFont="1" applyBorder="1"/>
    <xf numFmtId="0" fontId="6" fillId="0" borderId="0" xfId="0" applyFont="1"/>
    <xf numFmtId="0" fontId="2" fillId="0" borderId="0" xfId="0" applyFont="1"/>
    <xf numFmtId="0" fontId="1" fillId="2" borderId="55" xfId="0" quotePrefix="1" applyFont="1" applyFill="1" applyBorder="1" applyAlignment="1">
      <alignment horizontal="left"/>
    </xf>
    <xf numFmtId="0" fontId="1" fillId="2" borderId="56" xfId="0" quotePrefix="1" applyFont="1" applyFill="1" applyBorder="1" applyAlignment="1">
      <alignment horizontal="right"/>
    </xf>
    <xf numFmtId="0" fontId="1" fillId="0" borderId="57" xfId="0" applyFont="1" applyBorder="1"/>
    <xf numFmtId="1" fontId="4" fillId="4" borderId="58" xfId="0" applyNumberFormat="1" applyFont="1" applyFill="1" applyBorder="1"/>
    <xf numFmtId="3" fontId="3" fillId="9" borderId="59" xfId="0" applyNumberFormat="1" applyFont="1" applyFill="1" applyBorder="1"/>
    <xf numFmtId="3" fontId="3" fillId="9" borderId="60" xfId="0" applyNumberFormat="1" applyFont="1" applyFill="1" applyBorder="1"/>
    <xf numFmtId="3" fontId="3" fillId="7" borderId="61" xfId="0" applyNumberFormat="1" applyFont="1" applyFill="1" applyBorder="1"/>
    <xf numFmtId="3" fontId="3" fillId="7" borderId="62" xfId="0" applyNumberFormat="1" applyFont="1" applyFill="1" applyBorder="1"/>
    <xf numFmtId="3" fontId="18" fillId="4" borderId="56" xfId="0" applyNumberFormat="1" applyFont="1" applyFill="1" applyBorder="1"/>
    <xf numFmtId="1" fontId="4" fillId="2" borderId="63" xfId="0" applyNumberFormat="1" applyFont="1" applyFill="1" applyBorder="1"/>
    <xf numFmtId="3" fontId="32" fillId="2" borderId="64" xfId="0" applyNumberFormat="1" applyFont="1" applyFill="1" applyBorder="1"/>
    <xf numFmtId="3" fontId="1" fillId="2" borderId="64" xfId="0" applyNumberFormat="1" applyFont="1" applyFill="1" applyBorder="1"/>
    <xf numFmtId="1" fontId="4" fillId="2" borderId="58" xfId="0" applyNumberFormat="1" applyFont="1" applyFill="1" applyBorder="1"/>
    <xf numFmtId="3" fontId="1" fillId="0" borderId="55" xfId="0" applyNumberFormat="1" applyFont="1" applyBorder="1"/>
    <xf numFmtId="3" fontId="1" fillId="0" borderId="56" xfId="0" applyNumberFormat="1" applyFont="1" applyBorder="1"/>
    <xf numFmtId="3" fontId="1" fillId="0" borderId="65" xfId="0" applyNumberFormat="1" applyFont="1" applyBorder="1"/>
    <xf numFmtId="3" fontId="4" fillId="2" borderId="66" xfId="0" applyNumberFormat="1" applyFont="1" applyFill="1" applyBorder="1"/>
    <xf numFmtId="3" fontId="2" fillId="3" borderId="67" xfId="0" applyNumberFormat="1" applyFont="1" applyFill="1" applyBorder="1"/>
    <xf numFmtId="3" fontId="33" fillId="5" borderId="68" xfId="0" applyNumberFormat="1" applyFont="1" applyFill="1" applyBorder="1"/>
    <xf numFmtId="167" fontId="33" fillId="2" borderId="57" xfId="0" applyNumberFormat="1" applyFont="1" applyFill="1" applyBorder="1"/>
    <xf numFmtId="3" fontId="4" fillId="2" borderId="69" xfId="0" applyNumberFormat="1" applyFont="1" applyFill="1" applyBorder="1"/>
    <xf numFmtId="0" fontId="1" fillId="2" borderId="70" xfId="0" quotePrefix="1" applyFont="1" applyFill="1" applyBorder="1" applyAlignment="1">
      <alignment horizontal="left"/>
    </xf>
    <xf numFmtId="0" fontId="1" fillId="2" borderId="71" xfId="0" quotePrefix="1" applyFont="1" applyFill="1" applyBorder="1" applyAlignment="1">
      <alignment horizontal="right"/>
    </xf>
    <xf numFmtId="0" fontId="1" fillId="0" borderId="72" xfId="0" applyFont="1" applyBorder="1"/>
    <xf numFmtId="1" fontId="4" fillId="4" borderId="73" xfId="0" applyNumberFormat="1" applyFont="1" applyFill="1" applyBorder="1"/>
    <xf numFmtId="3" fontId="3" fillId="9" borderId="74" xfId="0" applyNumberFormat="1" applyFont="1" applyFill="1" applyBorder="1"/>
    <xf numFmtId="3" fontId="3" fillId="9" borderId="75" xfId="0" applyNumberFormat="1" applyFont="1" applyFill="1" applyBorder="1"/>
    <xf numFmtId="3" fontId="3" fillId="7" borderId="76" xfId="0" applyNumberFormat="1" applyFont="1" applyFill="1" applyBorder="1"/>
    <xf numFmtId="3" fontId="3" fillId="7" borderId="77" xfId="0" applyNumberFormat="1" applyFont="1" applyFill="1" applyBorder="1"/>
    <xf numFmtId="3" fontId="18" fillId="4" borderId="71" xfId="0" applyNumberFormat="1" applyFont="1" applyFill="1" applyBorder="1"/>
    <xf numFmtId="1" fontId="18" fillId="2" borderId="78" xfId="0" applyNumberFormat="1" applyFont="1" applyFill="1" applyBorder="1"/>
    <xf numFmtId="3" fontId="12" fillId="2" borderId="79" xfId="0" applyNumberFormat="1" applyFont="1" applyFill="1" applyBorder="1"/>
    <xf numFmtId="3" fontId="1" fillId="2" borderId="79" xfId="0" applyNumberFormat="1" applyFont="1" applyFill="1" applyBorder="1"/>
    <xf numFmtId="3" fontId="6" fillId="4" borderId="71" xfId="0" applyNumberFormat="1" applyFont="1" applyFill="1" applyBorder="1"/>
    <xf numFmtId="1" fontId="4" fillId="2" borderId="73" xfId="0" applyNumberFormat="1" applyFont="1" applyFill="1" applyBorder="1"/>
    <xf numFmtId="3" fontId="4" fillId="0" borderId="70" xfId="0" applyNumberFormat="1" applyFont="1" applyBorder="1"/>
    <xf numFmtId="3" fontId="4" fillId="0" borderId="71" xfId="0" applyNumberFormat="1" applyFont="1" applyBorder="1"/>
    <xf numFmtId="3" fontId="4" fillId="0" borderId="80" xfId="0" applyNumberFormat="1" applyFont="1" applyBorder="1"/>
    <xf numFmtId="3" fontId="4" fillId="2" borderId="81" xfId="0" applyNumberFormat="1" applyFont="1" applyFill="1" applyBorder="1"/>
    <xf numFmtId="3" fontId="2" fillId="3" borderId="82" xfId="0" applyNumberFormat="1" applyFont="1" applyFill="1" applyBorder="1"/>
    <xf numFmtId="3" fontId="3" fillId="2" borderId="83" xfId="0" applyNumberFormat="1" applyFont="1" applyFill="1" applyBorder="1"/>
    <xf numFmtId="167" fontId="3" fillId="2" borderId="72" xfId="0" applyNumberFormat="1" applyFont="1" applyFill="1" applyBorder="1"/>
    <xf numFmtId="3" fontId="4" fillId="2" borderId="84" xfId="0" applyNumberFormat="1" applyFont="1" applyFill="1" applyBorder="1"/>
    <xf numFmtId="0" fontId="1" fillId="0" borderId="80" xfId="0" applyFont="1" applyBorder="1"/>
    <xf numFmtId="1" fontId="4" fillId="4" borderId="73" xfId="0" quotePrefix="1" applyNumberFormat="1" applyFont="1" applyFill="1" applyBorder="1"/>
    <xf numFmtId="3" fontId="3" fillId="9" borderId="74" xfId="0" quotePrefix="1" applyNumberFormat="1" applyFont="1" applyFill="1" applyBorder="1"/>
    <xf numFmtId="3" fontId="3" fillId="9" borderId="75" xfId="0" quotePrefix="1" applyNumberFormat="1" applyFont="1" applyFill="1" applyBorder="1"/>
    <xf numFmtId="3" fontId="4" fillId="4" borderId="71" xfId="0" applyNumberFormat="1" applyFont="1" applyFill="1" applyBorder="1"/>
    <xf numFmtId="1" fontId="4" fillId="2" borderId="78" xfId="0" applyNumberFormat="1" applyFont="1" applyFill="1" applyBorder="1"/>
    <xf numFmtId="1" fontId="6" fillId="2" borderId="73" xfId="0" applyNumberFormat="1" applyFont="1" applyFill="1" applyBorder="1"/>
    <xf numFmtId="3" fontId="6" fillId="3" borderId="82" xfId="0" applyNumberFormat="1" applyFont="1" applyFill="1" applyBorder="1"/>
    <xf numFmtId="3" fontId="33" fillId="2" borderId="83" xfId="0" applyNumberFormat="1" applyFont="1" applyFill="1" applyBorder="1"/>
    <xf numFmtId="167" fontId="33" fillId="2" borderId="72" xfId="0" applyNumberFormat="1" applyFont="1" applyFill="1" applyBorder="1"/>
    <xf numFmtId="0" fontId="1" fillId="0" borderId="71" xfId="0" applyFont="1" applyBorder="1"/>
    <xf numFmtId="0" fontId="4" fillId="4" borderId="73" xfId="0" applyFont="1" applyFill="1" applyBorder="1"/>
    <xf numFmtId="3" fontId="34" fillId="2" borderId="79" xfId="0" applyNumberFormat="1" applyFont="1" applyFill="1" applyBorder="1"/>
    <xf numFmtId="1" fontId="18" fillId="2" borderId="73" xfId="0" applyNumberFormat="1" applyFont="1" applyFill="1" applyBorder="1"/>
    <xf numFmtId="0" fontId="18" fillId="4" borderId="73" xfId="0" applyFont="1" applyFill="1" applyBorder="1"/>
    <xf numFmtId="3" fontId="32" fillId="2" borderId="79" xfId="0" applyNumberFormat="1" applyFont="1" applyFill="1" applyBorder="1"/>
    <xf numFmtId="0" fontId="1" fillId="0" borderId="71" xfId="0" quotePrefix="1" applyFont="1" applyBorder="1" applyAlignment="1">
      <alignment horizontal="left"/>
    </xf>
    <xf numFmtId="3" fontId="35" fillId="2" borderId="83" xfId="0" applyNumberFormat="1" applyFont="1" applyFill="1" applyBorder="1"/>
    <xf numFmtId="0" fontId="6" fillId="4" borderId="73" xfId="0" applyFont="1" applyFill="1" applyBorder="1"/>
    <xf numFmtId="0" fontId="4" fillId="2" borderId="0" xfId="0" applyFont="1" applyFill="1"/>
    <xf numFmtId="3" fontId="3" fillId="0" borderId="83" xfId="0" applyNumberFormat="1" applyFont="1" applyBorder="1"/>
    <xf numFmtId="167" fontId="3" fillId="0" borderId="72" xfId="0" applyNumberFormat="1" applyFont="1" applyBorder="1"/>
    <xf numFmtId="0" fontId="1" fillId="2" borderId="85" xfId="0" quotePrefix="1" applyFont="1" applyFill="1" applyBorder="1" applyAlignment="1">
      <alignment horizontal="left"/>
    </xf>
    <xf numFmtId="0" fontId="1" fillId="2" borderId="86" xfId="0" quotePrefix="1" applyFont="1" applyFill="1" applyBorder="1" applyAlignment="1">
      <alignment horizontal="right"/>
    </xf>
    <xf numFmtId="0" fontId="1" fillId="0" borderId="86" xfId="0" quotePrefix="1" applyFont="1" applyBorder="1" applyAlignment="1">
      <alignment horizontal="left"/>
    </xf>
    <xf numFmtId="0" fontId="4" fillId="4" borderId="87" xfId="0" applyFont="1" applyFill="1" applyBorder="1"/>
    <xf numFmtId="3" fontId="3" fillId="9" borderId="88" xfId="0" applyNumberFormat="1" applyFont="1" applyFill="1" applyBorder="1"/>
    <xf numFmtId="3" fontId="3" fillId="9" borderId="89" xfId="0" applyNumberFormat="1" applyFont="1" applyFill="1" applyBorder="1"/>
    <xf numFmtId="3" fontId="3" fillId="7" borderId="90" xfId="0" applyNumberFormat="1" applyFont="1" applyFill="1" applyBorder="1"/>
    <xf numFmtId="3" fontId="3" fillId="7" borderId="91" xfId="0" applyNumberFormat="1" applyFont="1" applyFill="1" applyBorder="1"/>
    <xf numFmtId="3" fontId="1" fillId="4" borderId="86" xfId="0" applyNumberFormat="1" applyFont="1" applyFill="1" applyBorder="1"/>
    <xf numFmtId="1" fontId="4" fillId="2" borderId="92" xfId="0" applyNumberFormat="1" applyFont="1" applyFill="1" applyBorder="1"/>
    <xf numFmtId="3" fontId="12" fillId="2" borderId="93" xfId="0" applyNumberFormat="1" applyFont="1" applyFill="1" applyBorder="1"/>
    <xf numFmtId="3" fontId="1" fillId="2" borderId="93" xfId="0" applyNumberFormat="1" applyFont="1" applyFill="1" applyBorder="1"/>
    <xf numFmtId="3" fontId="6" fillId="4" borderId="86" xfId="0" applyNumberFormat="1" applyFont="1" applyFill="1" applyBorder="1"/>
    <xf numFmtId="1" fontId="4" fillId="2" borderId="87" xfId="0" applyNumberFormat="1" applyFont="1" applyFill="1" applyBorder="1"/>
    <xf numFmtId="3" fontId="4" fillId="0" borderId="85" xfId="0" applyNumberFormat="1" applyFont="1" applyBorder="1"/>
    <xf numFmtId="3" fontId="4" fillId="0" borderId="86" xfId="0" applyNumberFormat="1" applyFont="1" applyBorder="1"/>
    <xf numFmtId="3" fontId="4" fillId="0" borderId="94" xfId="0" applyNumberFormat="1" applyFont="1" applyBorder="1"/>
    <xf numFmtId="3" fontId="4" fillId="2" borderId="95" xfId="0" applyNumberFormat="1" applyFont="1" applyFill="1" applyBorder="1"/>
    <xf numFmtId="3" fontId="2" fillId="3" borderId="96" xfId="0" applyNumberFormat="1" applyFont="1" applyFill="1" applyBorder="1"/>
    <xf numFmtId="3" fontId="3" fillId="2" borderId="97" xfId="0" applyNumberFormat="1" applyFont="1" applyFill="1" applyBorder="1"/>
    <xf numFmtId="167" fontId="3" fillId="0" borderId="98" xfId="0" applyNumberFormat="1" applyFont="1" applyBorder="1"/>
    <xf numFmtId="3" fontId="4" fillId="2" borderId="99" xfId="0" applyNumberFormat="1" applyFont="1" applyFill="1" applyBorder="1"/>
    <xf numFmtId="3" fontId="6" fillId="5" borderId="31" xfId="0" applyNumberFormat="1" applyFont="1" applyFill="1" applyBorder="1"/>
    <xf numFmtId="3" fontId="6" fillId="2" borderId="0" xfId="0" applyNumberFormat="1" applyFont="1" applyFill="1"/>
    <xf numFmtId="0" fontId="36" fillId="0" borderId="0" xfId="0" applyFont="1"/>
    <xf numFmtId="0" fontId="25" fillId="0" borderId="0" xfId="0" applyFont="1"/>
    <xf numFmtId="0" fontId="24" fillId="0" borderId="0" xfId="0" applyFont="1"/>
    <xf numFmtId="1" fontId="30" fillId="0" borderId="0" xfId="0" applyNumberFormat="1" applyFont="1"/>
    <xf numFmtId="1" fontId="26" fillId="0" borderId="0" xfId="0" applyNumberFormat="1" applyFont="1"/>
    <xf numFmtId="1" fontId="12" fillId="2" borderId="0" xfId="0" applyNumberFormat="1" applyFont="1" applyFill="1"/>
    <xf numFmtId="0" fontId="1" fillId="0" borderId="0" xfId="0" quotePrefix="1" applyFont="1" applyAlignment="1">
      <alignment horizontal="left"/>
    </xf>
    <xf numFmtId="0" fontId="1" fillId="2" borderId="0" xfId="0" quotePrefix="1" applyFont="1" applyFill="1" applyAlignment="1">
      <alignment horizontal="right"/>
    </xf>
    <xf numFmtId="9" fontId="1" fillId="0" borderId="0" xfId="0" applyNumberFormat="1" applyFont="1" applyAlignment="1">
      <alignment horizontal="center"/>
    </xf>
    <xf numFmtId="167" fontId="3" fillId="0" borderId="0" xfId="0" applyNumberFormat="1" applyFont="1"/>
    <xf numFmtId="0" fontId="1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2" fontId="4" fillId="0" borderId="0" xfId="0" applyNumberFormat="1" applyFont="1"/>
    <xf numFmtId="2" fontId="3" fillId="0" borderId="0" xfId="0" applyNumberFormat="1" applyFont="1"/>
    <xf numFmtId="3" fontId="3" fillId="0" borderId="35" xfId="0" applyNumberFormat="1" applyFont="1" applyBorder="1" applyAlignment="1">
      <alignment horizontal="right"/>
    </xf>
    <xf numFmtId="0" fontId="3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39" xfId="0" applyFont="1" applyBorder="1"/>
    <xf numFmtId="0" fontId="3" fillId="0" borderId="39" xfId="0" applyFont="1" applyBorder="1" applyAlignment="1">
      <alignment horizontal="center" vertical="center"/>
    </xf>
    <xf numFmtId="167" fontId="1" fillId="0" borderId="0" xfId="0" applyNumberFormat="1" applyFont="1"/>
    <xf numFmtId="167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3" fontId="1" fillId="2" borderId="0" xfId="0" applyNumberFormat="1" applyFont="1" applyFill="1"/>
    <xf numFmtId="2" fontId="1" fillId="0" borderId="0" xfId="0" applyNumberFormat="1" applyFont="1"/>
    <xf numFmtId="0" fontId="3" fillId="0" borderId="0" xfId="0" applyFont="1" applyAlignment="1">
      <alignment horizontal="right" vertical="center"/>
    </xf>
    <xf numFmtId="1" fontId="16" fillId="0" borderId="0" xfId="0" applyNumberFormat="1" applyFont="1"/>
    <xf numFmtId="1" fontId="16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right"/>
    </xf>
    <xf numFmtId="3" fontId="30" fillId="0" borderId="0" xfId="0" applyNumberFormat="1" applyFont="1"/>
    <xf numFmtId="3" fontId="5" fillId="0" borderId="0" xfId="0" applyNumberFormat="1" applyFont="1"/>
    <xf numFmtId="3" fontId="2" fillId="0" borderId="0" xfId="0" applyNumberFormat="1" applyFont="1"/>
    <xf numFmtId="0" fontId="1" fillId="4" borderId="0" xfId="0" applyFont="1" applyFill="1" applyAlignment="1">
      <alignment horizontal="right" vertical="center"/>
    </xf>
    <xf numFmtId="165" fontId="4" fillId="4" borderId="0" xfId="0" applyNumberFormat="1" applyFont="1" applyFill="1"/>
    <xf numFmtId="0" fontId="5" fillId="0" borderId="0" xfId="0" applyFont="1"/>
    <xf numFmtId="0" fontId="37" fillId="4" borderId="0" xfId="0" applyFont="1" applyFill="1"/>
    <xf numFmtId="3" fontId="4" fillId="4" borderId="56" xfId="0" applyNumberFormat="1" applyFont="1" applyFill="1" applyBorder="1"/>
    <xf numFmtId="0" fontId="30" fillId="2" borderId="0" xfId="0" applyFont="1" applyFill="1"/>
    <xf numFmtId="0" fontId="30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left" vertical="center"/>
    </xf>
    <xf numFmtId="2" fontId="30" fillId="0" borderId="0" xfId="0" applyNumberFormat="1" applyFont="1"/>
    <xf numFmtId="0" fontId="31" fillId="0" borderId="0" xfId="0" applyFont="1"/>
    <xf numFmtId="1" fontId="38" fillId="0" borderId="0" xfId="0" applyNumberFormat="1" applyFont="1"/>
    <xf numFmtId="3" fontId="38" fillId="0" borderId="0" xfId="0" applyNumberFormat="1" applyFont="1"/>
    <xf numFmtId="165" fontId="2" fillId="4" borderId="31" xfId="0" applyNumberFormat="1" applyFont="1" applyFill="1" applyBorder="1"/>
    <xf numFmtId="0" fontId="39" fillId="2" borderId="0" xfId="0" applyFont="1" applyFill="1"/>
    <xf numFmtId="1" fontId="40" fillId="4" borderId="109" xfId="0" applyNumberFormat="1" applyFont="1" applyFill="1" applyBorder="1" applyAlignment="1">
      <alignment horizontal="right"/>
    </xf>
    <xf numFmtId="4" fontId="39" fillId="0" borderId="0" xfId="0" applyNumberFormat="1" applyFont="1"/>
    <xf numFmtId="0" fontId="39" fillId="0" borderId="0" xfId="0" applyFont="1"/>
    <xf numFmtId="3" fontId="40" fillId="0" borderId="39" xfId="0" applyNumberFormat="1" applyFont="1" applyBorder="1" applyAlignment="1">
      <alignment horizontal="center" vertical="center"/>
    </xf>
    <xf numFmtId="3" fontId="39" fillId="0" borderId="39" xfId="0" applyNumberFormat="1" applyFont="1" applyBorder="1" applyAlignment="1">
      <alignment horizontal="center" vertical="center"/>
    </xf>
    <xf numFmtId="1" fontId="40" fillId="4" borderId="109" xfId="0" applyNumberFormat="1" applyFont="1" applyFill="1" applyBorder="1"/>
    <xf numFmtId="3" fontId="39" fillId="0" borderId="0" xfId="0" applyNumberFormat="1" applyFont="1"/>
    <xf numFmtId="3" fontId="39" fillId="2" borderId="39" xfId="0" applyNumberFormat="1" applyFont="1" applyFill="1" applyBorder="1" applyAlignment="1">
      <alignment horizontal="center" vertical="center"/>
    </xf>
    <xf numFmtId="3" fontId="41" fillId="0" borderId="0" xfId="0" applyNumberFormat="1" applyFont="1" applyAlignment="1">
      <alignment vertical="center"/>
    </xf>
    <xf numFmtId="1" fontId="40" fillId="4" borderId="110" xfId="0" applyNumberFormat="1" applyFont="1" applyFill="1" applyBorder="1" applyAlignment="1">
      <alignment horizontal="right"/>
    </xf>
    <xf numFmtId="3" fontId="40" fillId="0" borderId="0" xfId="0" applyNumberFormat="1" applyFont="1" applyAlignment="1">
      <alignment horizontal="right" vertical="center"/>
    </xf>
    <xf numFmtId="3" fontId="42" fillId="0" borderId="0" xfId="0" applyNumberFormat="1" applyFont="1"/>
    <xf numFmtId="0" fontId="43" fillId="4" borderId="110" xfId="0" applyFont="1" applyFill="1" applyBorder="1"/>
    <xf numFmtId="3" fontId="39" fillId="0" borderId="0" xfId="0" applyNumberFormat="1" applyFont="1" applyAlignment="1">
      <alignment horizontal="right"/>
    </xf>
    <xf numFmtId="3" fontId="42" fillId="2" borderId="0" xfId="0" applyNumberFormat="1" applyFont="1" applyFill="1"/>
    <xf numFmtId="3" fontId="41" fillId="0" borderId="0" xfId="0" applyNumberFormat="1" applyFont="1"/>
    <xf numFmtId="1" fontId="40" fillId="4" borderId="110" xfId="0" applyNumberFormat="1" applyFont="1" applyFill="1" applyBorder="1"/>
    <xf numFmtId="3" fontId="40" fillId="0" borderId="0" xfId="0" applyNumberFormat="1" applyFont="1"/>
    <xf numFmtId="3" fontId="40" fillId="0" borderId="0" xfId="0" applyNumberFormat="1" applyFont="1" applyAlignment="1">
      <alignment horizontal="right"/>
    </xf>
    <xf numFmtId="3" fontId="42" fillId="2" borderId="0" xfId="0" applyNumberFormat="1" applyFont="1" applyFill="1" applyAlignment="1">
      <alignment horizontal="right"/>
    </xf>
    <xf numFmtId="0" fontId="40" fillId="0" borderId="0" xfId="0" applyFont="1"/>
    <xf numFmtId="3" fontId="39" fillId="2" borderId="0" xfId="0" applyNumberFormat="1" applyFont="1" applyFill="1"/>
    <xf numFmtId="3" fontId="44" fillId="0" borderId="0" xfId="0" applyNumberFormat="1" applyFont="1"/>
    <xf numFmtId="3" fontId="45" fillId="0" borderId="0" xfId="0" applyNumberFormat="1" applyFont="1"/>
    <xf numFmtId="0" fontId="41" fillId="0" borderId="0" xfId="0" applyFont="1"/>
    <xf numFmtId="3" fontId="46" fillId="0" borderId="0" xfId="0" applyNumberFormat="1" applyFont="1"/>
    <xf numFmtId="3" fontId="46" fillId="2" borderId="0" xfId="0" applyNumberFormat="1" applyFont="1" applyFill="1"/>
    <xf numFmtId="4" fontId="39" fillId="0" borderId="34" xfId="0" applyNumberFormat="1" applyFont="1" applyBorder="1"/>
    <xf numFmtId="165" fontId="39" fillId="2" borderId="0" xfId="0" applyNumberFormat="1" applyFont="1" applyFill="1"/>
    <xf numFmtId="1" fontId="40" fillId="4" borderId="113" xfId="0" applyNumberFormat="1" applyFont="1" applyFill="1" applyBorder="1"/>
    <xf numFmtId="0" fontId="46" fillId="2" borderId="0" xfId="0" applyFont="1" applyFill="1"/>
    <xf numFmtId="0" fontId="44" fillId="2" borderId="0" xfId="0" applyFont="1" applyFill="1"/>
    <xf numFmtId="0" fontId="45" fillId="2" borderId="0" xfId="0" applyFont="1" applyFill="1"/>
    <xf numFmtId="0" fontId="41" fillId="2" borderId="0" xfId="0" applyFont="1" applyFill="1"/>
    <xf numFmtId="3" fontId="47" fillId="0" borderId="0" xfId="0" applyNumberFormat="1" applyFont="1" applyAlignment="1">
      <alignment horizontal="left" vertical="center"/>
    </xf>
    <xf numFmtId="0" fontId="46" fillId="0" borderId="0" xfId="0" applyFont="1"/>
    <xf numFmtId="0" fontId="44" fillId="0" borderId="0" xfId="0" applyFont="1"/>
    <xf numFmtId="0" fontId="45" fillId="0" borderId="0" xfId="0" applyFont="1"/>
    <xf numFmtId="0" fontId="39" fillId="2" borderId="0" xfId="0" quotePrefix="1" applyFont="1" applyFill="1" applyAlignment="1">
      <alignment horizontal="left"/>
    </xf>
    <xf numFmtId="0" fontId="48" fillId="2" borderId="0" xfId="0" quotePrefix="1" applyFont="1" applyFill="1" applyAlignment="1">
      <alignment horizontal="left"/>
    </xf>
    <xf numFmtId="0" fontId="39" fillId="6" borderId="0" xfId="0" applyFont="1" applyFill="1" applyAlignment="1">
      <alignment horizontal="left"/>
    </xf>
    <xf numFmtId="1" fontId="39" fillId="0" borderId="0" xfId="0" applyNumberFormat="1" applyFont="1"/>
    <xf numFmtId="1" fontId="40" fillId="0" borderId="0" xfId="0" applyNumberFormat="1" applyFont="1"/>
    <xf numFmtId="3" fontId="49" fillId="7" borderId="14" xfId="0" applyNumberFormat="1" applyFont="1" applyFill="1" applyBorder="1" applyAlignment="1">
      <alignment horizontal="center" vertical="center"/>
    </xf>
    <xf numFmtId="3" fontId="49" fillId="5" borderId="33" xfId="0" applyNumberFormat="1" applyFont="1" applyFill="1" applyBorder="1" applyAlignment="1">
      <alignment horizontal="center" vertical="center"/>
    </xf>
    <xf numFmtId="166" fontId="47" fillId="4" borderId="31" xfId="0" applyNumberFormat="1" applyFont="1" applyFill="1" applyBorder="1"/>
    <xf numFmtId="3" fontId="52" fillId="0" borderId="0" xfId="0" applyNumberFormat="1" applyFont="1" applyAlignment="1">
      <alignment horizontal="center" vertical="center" wrapText="1"/>
    </xf>
    <xf numFmtId="3" fontId="39" fillId="0" borderId="0" xfId="0" applyNumberFormat="1" applyFont="1" applyAlignment="1">
      <alignment horizontal="center" vertical="center"/>
    </xf>
    <xf numFmtId="3" fontId="40" fillId="0" borderId="36" xfId="0" applyNumberFormat="1" applyFont="1" applyBorder="1" applyAlignment="1">
      <alignment horizontal="center" vertical="center"/>
    </xf>
    <xf numFmtId="3" fontId="40" fillId="0" borderId="37" xfId="0" applyNumberFormat="1" applyFont="1" applyBorder="1" applyAlignment="1">
      <alignment horizontal="center" vertical="center"/>
    </xf>
    <xf numFmtId="3" fontId="40" fillId="2" borderId="37" xfId="0" applyNumberFormat="1" applyFont="1" applyFill="1" applyBorder="1" applyAlignment="1">
      <alignment horizontal="center" vertical="center"/>
    </xf>
    <xf numFmtId="3" fontId="40" fillId="0" borderId="38" xfId="0" applyNumberFormat="1" applyFont="1" applyBorder="1" applyAlignment="1">
      <alignment horizontal="center" vertical="center"/>
    </xf>
    <xf numFmtId="3" fontId="53" fillId="0" borderId="0" xfId="0" applyNumberFormat="1" applyFont="1" applyAlignment="1">
      <alignment vertical="center"/>
    </xf>
    <xf numFmtId="0" fontId="40" fillId="2" borderId="21" xfId="0" applyFont="1" applyFill="1" applyBorder="1" applyAlignment="1">
      <alignment horizontal="center" wrapText="1"/>
    </xf>
    <xf numFmtId="0" fontId="39" fillId="2" borderId="0" xfId="0" applyFont="1" applyFill="1" applyAlignment="1">
      <alignment horizontal="right" vertical="center"/>
    </xf>
    <xf numFmtId="0" fontId="40" fillId="2" borderId="0" xfId="0" applyFont="1" applyFill="1"/>
    <xf numFmtId="1" fontId="40" fillId="4" borderId="111" xfId="0" applyNumberFormat="1" applyFont="1" applyFill="1" applyBorder="1"/>
    <xf numFmtId="167" fontId="33" fillId="0" borderId="57" xfId="0" applyNumberFormat="1" applyFont="1" applyBorder="1"/>
    <xf numFmtId="167" fontId="33" fillId="0" borderId="72" xfId="0" applyNumberFormat="1" applyFont="1" applyBorder="1"/>
    <xf numFmtId="3" fontId="35" fillId="0" borderId="83" xfId="0" applyNumberFormat="1" applyFont="1" applyBorder="1"/>
    <xf numFmtId="3" fontId="17" fillId="5" borderId="83" xfId="0" applyNumberFormat="1" applyFont="1" applyFill="1" applyBorder="1"/>
    <xf numFmtId="167" fontId="17" fillId="0" borderId="72" xfId="0" applyNumberFormat="1" applyFont="1" applyBorder="1"/>
    <xf numFmtId="0" fontId="37" fillId="0" borderId="0" xfId="0" applyFont="1"/>
    <xf numFmtId="3" fontId="4" fillId="2" borderId="56" xfId="0" applyNumberFormat="1" applyFont="1" applyFill="1" applyBorder="1"/>
    <xf numFmtId="3" fontId="4" fillId="2" borderId="71" xfId="0" applyNumberFormat="1" applyFont="1" applyFill="1" applyBorder="1"/>
    <xf numFmtId="0" fontId="4" fillId="4" borderId="0" xfId="0" applyFont="1" applyFill="1" applyAlignment="1">
      <alignment horizontal="left" vertical="center"/>
    </xf>
    <xf numFmtId="0" fontId="26" fillId="0" borderId="0" xfId="0" applyFont="1"/>
    <xf numFmtId="3" fontId="27" fillId="0" borderId="0" xfId="0" applyNumberFormat="1" applyFont="1"/>
    <xf numFmtId="3" fontId="1" fillId="0" borderId="114" xfId="0" applyNumberFormat="1" applyFont="1" applyBorder="1" applyAlignment="1">
      <alignment horizontal="left"/>
    </xf>
    <xf numFmtId="3" fontId="23" fillId="0" borderId="35" xfId="0" applyNumberFormat="1" applyFont="1" applyBorder="1"/>
    <xf numFmtId="0" fontId="23" fillId="0" borderId="35" xfId="0" applyFont="1" applyBorder="1"/>
    <xf numFmtId="0" fontId="1" fillId="0" borderId="35" xfId="0" applyFont="1" applyBorder="1" applyAlignment="1">
      <alignment horizontal="center"/>
    </xf>
    <xf numFmtId="1" fontId="4" fillId="0" borderId="115" xfId="0" applyNumberFormat="1" applyFont="1" applyBorder="1" applyAlignment="1">
      <alignment horizontal="center"/>
    </xf>
    <xf numFmtId="3" fontId="1" fillId="0" borderId="12" xfId="0" applyNumberFormat="1" applyFont="1" applyBorder="1"/>
    <xf numFmtId="3" fontId="1" fillId="0" borderId="23" xfId="0" applyNumberFormat="1" applyFont="1" applyBorder="1"/>
    <xf numFmtId="4" fontId="1" fillId="0" borderId="12" xfId="0" applyNumberFormat="1" applyFont="1" applyBorder="1" applyAlignment="1">
      <alignment horizontal="right"/>
    </xf>
    <xf numFmtId="4" fontId="1" fillId="0" borderId="116" xfId="0" applyNumberFormat="1" applyFont="1" applyBorder="1" applyAlignment="1">
      <alignment horizontal="right"/>
    </xf>
    <xf numFmtId="4" fontId="1" fillId="0" borderId="34" xfId="0" applyNumberFormat="1" applyFont="1" applyBorder="1"/>
    <xf numFmtId="3" fontId="1" fillId="0" borderId="117" xfId="0" applyNumberFormat="1" applyFont="1" applyBorder="1"/>
    <xf numFmtId="3" fontId="27" fillId="2" borderId="0" xfId="0" applyNumberFormat="1" applyFont="1" applyFill="1"/>
    <xf numFmtId="164" fontId="17" fillId="0" borderId="101" xfId="0" applyNumberFormat="1" applyFont="1" applyBorder="1"/>
    <xf numFmtId="164" fontId="17" fillId="0" borderId="104" xfId="0" applyNumberFormat="1" applyFont="1" applyBorder="1"/>
    <xf numFmtId="164" fontId="17" fillId="2" borderId="104" xfId="0" applyNumberFormat="1" applyFont="1" applyFill="1" applyBorder="1"/>
    <xf numFmtId="0" fontId="39" fillId="0" borderId="0" xfId="0" applyFont="1" applyAlignment="1">
      <alignment horizontal="center" vertical="center"/>
    </xf>
    <xf numFmtId="0" fontId="1" fillId="2" borderId="118" xfId="0" quotePrefix="1" applyFont="1" applyFill="1" applyBorder="1" applyAlignment="1">
      <alignment horizontal="left"/>
    </xf>
    <xf numFmtId="0" fontId="1" fillId="2" borderId="119" xfId="0" quotePrefix="1" applyFont="1" applyFill="1" applyBorder="1" applyAlignment="1">
      <alignment horizontal="right"/>
    </xf>
    <xf numFmtId="0" fontId="1" fillId="0" borderId="119" xfId="0" applyFont="1" applyBorder="1" applyAlignment="1">
      <alignment horizontal="left"/>
    </xf>
    <xf numFmtId="1" fontId="1" fillId="4" borderId="119" xfId="0" applyNumberFormat="1" applyFont="1" applyFill="1" applyBorder="1"/>
    <xf numFmtId="1" fontId="4" fillId="4" borderId="119" xfId="0" applyNumberFormat="1" applyFont="1" applyFill="1" applyBorder="1" applyAlignment="1">
      <alignment horizontal="right"/>
    </xf>
    <xf numFmtId="1" fontId="4" fillId="2" borderId="119" xfId="0" applyNumberFormat="1" applyFont="1" applyFill="1" applyBorder="1"/>
    <xf numFmtId="3" fontId="4" fillId="2" borderId="119" xfId="0" applyNumberFormat="1" applyFont="1" applyFill="1" applyBorder="1" applyAlignment="1">
      <alignment horizontal="right"/>
    </xf>
    <xf numFmtId="3" fontId="16" fillId="0" borderId="119" xfId="0" applyNumberFormat="1" applyFont="1" applyBorder="1" applyAlignment="1">
      <alignment wrapText="1"/>
    </xf>
    <xf numFmtId="3" fontId="2" fillId="3" borderId="119" xfId="0" applyNumberFormat="1" applyFont="1" applyFill="1" applyBorder="1"/>
    <xf numFmtId="0" fontId="55" fillId="0" borderId="0" xfId="0" applyFont="1"/>
    <xf numFmtId="0" fontId="57" fillId="0" borderId="0" xfId="0" applyFont="1"/>
    <xf numFmtId="0" fontId="58" fillId="0" borderId="0" xfId="0" applyFont="1"/>
    <xf numFmtId="3" fontId="55" fillId="0" borderId="0" xfId="0" applyNumberFormat="1" applyFont="1" applyAlignment="1">
      <alignment horizontal="right"/>
    </xf>
    <xf numFmtId="0" fontId="59" fillId="0" borderId="0" xfId="0" applyFont="1"/>
    <xf numFmtId="0" fontId="56" fillId="0" borderId="36" xfId="0" applyFont="1" applyBorder="1" applyAlignment="1">
      <alignment horizontal="center" wrapText="1"/>
    </xf>
    <xf numFmtId="0" fontId="56" fillId="6" borderId="120" xfId="0" applyFont="1" applyFill="1" applyBorder="1" applyAlignment="1">
      <alignment horizontal="center" wrapText="1"/>
    </xf>
    <xf numFmtId="0" fontId="56" fillId="2" borderId="121" xfId="0" applyFont="1" applyFill="1" applyBorder="1" applyAlignment="1">
      <alignment horizontal="center" wrapText="1"/>
    </xf>
    <xf numFmtId="0" fontId="60" fillId="5" borderId="121" xfId="0" applyFont="1" applyFill="1" applyBorder="1" applyAlignment="1">
      <alignment horizontal="center" wrapText="1"/>
    </xf>
    <xf numFmtId="0" fontId="56" fillId="0" borderId="0" xfId="0" applyFont="1"/>
    <xf numFmtId="1" fontId="56" fillId="0" borderId="121" xfId="0" quotePrefix="1" applyNumberFormat="1" applyFont="1" applyBorder="1" applyAlignment="1">
      <alignment horizontal="right"/>
    </xf>
    <xf numFmtId="0" fontId="56" fillId="6" borderId="121" xfId="0" applyFont="1" applyFill="1" applyBorder="1" applyAlignment="1">
      <alignment horizontal="left" wrapText="1"/>
    </xf>
    <xf numFmtId="3" fontId="56" fillId="2" borderId="121" xfId="0" applyNumberFormat="1" applyFont="1" applyFill="1" applyBorder="1"/>
    <xf numFmtId="3" fontId="59" fillId="5" borderId="121" xfId="0" applyNumberFormat="1" applyFont="1" applyFill="1" applyBorder="1"/>
    <xf numFmtId="3" fontId="56" fillId="2" borderId="121" xfId="0" applyNumberFormat="1" applyFont="1" applyFill="1" applyBorder="1" applyAlignment="1">
      <alignment horizontal="right" wrapText="1"/>
    </xf>
    <xf numFmtId="3" fontId="61" fillId="2" borderId="121" xfId="0" applyNumberFormat="1" applyFont="1" applyFill="1" applyBorder="1"/>
    <xf numFmtId="0" fontId="56" fillId="0" borderId="121" xfId="0" applyFont="1" applyBorder="1"/>
    <xf numFmtId="0" fontId="62" fillId="0" borderId="0" xfId="0" applyFont="1"/>
    <xf numFmtId="0" fontId="56" fillId="6" borderId="121" xfId="0" applyFont="1" applyFill="1" applyBorder="1"/>
    <xf numFmtId="1" fontId="58" fillId="0" borderId="121" xfId="0" applyNumberFormat="1" applyFont="1" applyBorder="1" applyAlignment="1">
      <alignment horizontal="left"/>
    </xf>
    <xf numFmtId="0" fontId="58" fillId="7" borderId="121" xfId="0" applyFont="1" applyFill="1" applyBorder="1" applyAlignment="1">
      <alignment horizontal="center"/>
    </xf>
    <xf numFmtId="3" fontId="56" fillId="7" borderId="121" xfId="0" applyNumberFormat="1" applyFont="1" applyFill="1" applyBorder="1"/>
    <xf numFmtId="3" fontId="59" fillId="7" borderId="121" xfId="0" applyNumberFormat="1" applyFont="1" applyFill="1" applyBorder="1"/>
    <xf numFmtId="0" fontId="56" fillId="0" borderId="121" xfId="0" applyFont="1" applyBorder="1" applyAlignment="1">
      <alignment horizontal="left"/>
    </xf>
    <xf numFmtId="3" fontId="4" fillId="0" borderId="121" xfId="0" applyNumberFormat="1" applyFont="1" applyBorder="1"/>
    <xf numFmtId="0" fontId="56" fillId="0" borderId="121" xfId="0" quotePrefix="1" applyFont="1" applyBorder="1" applyAlignment="1">
      <alignment horizontal="left"/>
    </xf>
    <xf numFmtId="0" fontId="58" fillId="7" borderId="121" xfId="0" applyFont="1" applyFill="1" applyBorder="1" applyAlignment="1">
      <alignment horizontal="left"/>
    </xf>
    <xf numFmtId="3" fontId="62" fillId="2" borderId="121" xfId="0" quotePrefix="1" applyNumberFormat="1" applyFont="1" applyFill="1" applyBorder="1"/>
    <xf numFmtId="3" fontId="63" fillId="2" borderId="121" xfId="0" applyNumberFormat="1" applyFont="1" applyFill="1" applyBorder="1"/>
    <xf numFmtId="3" fontId="64" fillId="5" borderId="121" xfId="0" applyNumberFormat="1" applyFont="1" applyFill="1" applyBorder="1"/>
    <xf numFmtId="3" fontId="58" fillId="0" borderId="0" xfId="0" applyNumberFormat="1" applyFont="1"/>
    <xf numFmtId="3" fontId="65" fillId="0" borderId="0" xfId="0" applyNumberFormat="1" applyFont="1"/>
    <xf numFmtId="3" fontId="40" fillId="0" borderId="0" xfId="0" applyNumberFormat="1" applyFont="1" applyAlignment="1">
      <alignment vertical="center" wrapText="1"/>
    </xf>
    <xf numFmtId="0" fontId="55" fillId="2" borderId="121" xfId="0" applyFont="1" applyFill="1" applyBorder="1" applyAlignment="1">
      <alignment horizontal="center" wrapText="1"/>
    </xf>
    <xf numFmtId="3" fontId="55" fillId="2" borderId="121" xfId="0" applyNumberFormat="1" applyFont="1" applyFill="1" applyBorder="1"/>
    <xf numFmtId="0" fontId="55" fillId="2" borderId="0" xfId="0" applyFont="1" applyFill="1"/>
    <xf numFmtId="3" fontId="55" fillId="7" borderId="121" xfId="0" applyNumberFormat="1" applyFont="1" applyFill="1" applyBorder="1"/>
    <xf numFmtId="0" fontId="66" fillId="0" borderId="123" xfId="0" applyFont="1" applyBorder="1"/>
    <xf numFmtId="0" fontId="66" fillId="0" borderId="119" xfId="0" applyFont="1" applyBorder="1" applyAlignment="1">
      <alignment horizontal="left"/>
    </xf>
    <xf numFmtId="0" fontId="66" fillId="0" borderId="122" xfId="0" applyFont="1" applyBorder="1"/>
    <xf numFmtId="3" fontId="67" fillId="0" borderId="0" xfId="0" applyNumberFormat="1" applyFont="1"/>
    <xf numFmtId="3" fontId="67" fillId="0" borderId="0" xfId="0" applyNumberFormat="1" applyFont="1" applyAlignment="1">
      <alignment horizontal="right"/>
    </xf>
    <xf numFmtId="1" fontId="68" fillId="0" borderId="0" xfId="0" applyNumberFormat="1" applyFont="1" applyAlignment="1">
      <alignment horizontal="left"/>
    </xf>
    <xf numFmtId="3" fontId="69" fillId="0" borderId="0" xfId="0" applyNumberFormat="1" applyFont="1" applyAlignment="1">
      <alignment horizontal="left"/>
    </xf>
    <xf numFmtId="3" fontId="70" fillId="0" borderId="0" xfId="0" applyNumberFormat="1" applyFont="1" applyAlignment="1">
      <alignment horizontal="right"/>
    </xf>
    <xf numFmtId="3" fontId="71" fillId="0" borderId="0" xfId="0" applyNumberFormat="1" applyFont="1" applyAlignment="1">
      <alignment horizontal="left"/>
    </xf>
    <xf numFmtId="1" fontId="68" fillId="0" borderId="0" xfId="0" applyNumberFormat="1" applyFont="1" applyAlignment="1" applyProtection="1">
      <alignment horizontal="left"/>
      <protection locked="0"/>
    </xf>
    <xf numFmtId="3" fontId="68" fillId="0" borderId="0" xfId="0" applyNumberFormat="1" applyFont="1" applyAlignment="1" applyProtection="1">
      <alignment horizontal="left"/>
      <protection locked="0"/>
    </xf>
    <xf numFmtId="3" fontId="67" fillId="0" borderId="0" xfId="0" applyNumberFormat="1" applyFont="1" applyProtection="1">
      <protection locked="0"/>
    </xf>
    <xf numFmtId="1" fontId="70" fillId="0" borderId="0" xfId="0" applyNumberFormat="1" applyFont="1" applyAlignment="1">
      <alignment horizontal="left"/>
    </xf>
    <xf numFmtId="3" fontId="70" fillId="0" borderId="0" xfId="0" applyNumberFormat="1" applyFont="1"/>
    <xf numFmtId="3" fontId="72" fillId="0" borderId="0" xfId="0" applyNumberFormat="1" applyFont="1" applyAlignment="1">
      <alignment horizontal="center"/>
    </xf>
    <xf numFmtId="3" fontId="69" fillId="0" borderId="124" xfId="0" applyNumberFormat="1" applyFont="1" applyBorder="1" applyAlignment="1">
      <alignment horizontal="center"/>
    </xf>
    <xf numFmtId="3" fontId="68" fillId="0" borderId="114" xfId="0" applyNumberFormat="1" applyFont="1" applyBorder="1" applyAlignment="1">
      <alignment horizontal="center"/>
    </xf>
    <xf numFmtId="3" fontId="68" fillId="0" borderId="115" xfId="0" applyNumberFormat="1" applyFont="1" applyBorder="1"/>
    <xf numFmtId="3" fontId="68" fillId="0" borderId="124" xfId="0" applyNumberFormat="1" applyFont="1" applyBorder="1" applyAlignment="1">
      <alignment horizontal="center"/>
    </xf>
    <xf numFmtId="3" fontId="68" fillId="0" borderId="0" xfId="0" applyNumberFormat="1" applyFont="1"/>
    <xf numFmtId="3" fontId="68" fillId="0" borderId="0" xfId="0" applyNumberFormat="1" applyFont="1" applyAlignment="1">
      <alignment horizontal="center"/>
    </xf>
    <xf numFmtId="1" fontId="69" fillId="0" borderId="125" xfId="0" applyNumberFormat="1" applyFont="1" applyBorder="1" applyAlignment="1">
      <alignment horizontal="center" wrapText="1"/>
    </xf>
    <xf numFmtId="1" fontId="68" fillId="0" borderId="116" xfId="0" applyNumberFormat="1" applyFont="1" applyBorder="1" applyAlignment="1">
      <alignment horizontal="center" wrapText="1"/>
    </xf>
    <xf numFmtId="3" fontId="68" fillId="0" borderId="117" xfId="0" applyNumberFormat="1" applyFont="1" applyBorder="1" applyAlignment="1">
      <alignment horizontal="center"/>
    </xf>
    <xf numFmtId="3" fontId="68" fillId="0" borderId="125" xfId="0" applyNumberFormat="1" applyFont="1" applyBorder="1" applyAlignment="1">
      <alignment horizontal="center" wrapText="1"/>
    </xf>
    <xf numFmtId="1" fontId="73" fillId="0" borderId="126" xfId="0" applyNumberFormat="1" applyFont="1" applyBorder="1" applyAlignment="1">
      <alignment horizontal="center" wrapText="1"/>
    </xf>
    <xf numFmtId="3" fontId="68" fillId="0" borderId="37" xfId="0" applyNumberFormat="1" applyFont="1" applyBorder="1" applyAlignment="1">
      <alignment horizontal="left"/>
    </xf>
    <xf numFmtId="3" fontId="73" fillId="0" borderId="37" xfId="0" applyNumberFormat="1" applyFont="1" applyBorder="1"/>
    <xf numFmtId="3" fontId="68" fillId="0" borderId="38" xfId="0" applyNumberFormat="1" applyFont="1" applyBorder="1" applyAlignment="1">
      <alignment horizontal="right" wrapText="1"/>
    </xf>
    <xf numFmtId="3" fontId="73" fillId="0" borderId="0" xfId="0" applyNumberFormat="1" applyFont="1"/>
    <xf numFmtId="1" fontId="70" fillId="10" borderId="121" xfId="0" applyNumberFormat="1" applyFont="1" applyFill="1" applyBorder="1" applyAlignment="1">
      <alignment horizontal="right"/>
    </xf>
    <xf numFmtId="3" fontId="74" fillId="10" borderId="38" xfId="0" applyNumberFormat="1" applyFont="1" applyFill="1" applyBorder="1"/>
    <xf numFmtId="3" fontId="75" fillId="10" borderId="37" xfId="0" applyNumberFormat="1" applyFont="1" applyFill="1" applyBorder="1"/>
    <xf numFmtId="3" fontId="76" fillId="10" borderId="121" xfId="0" applyNumberFormat="1" applyFont="1" applyFill="1" applyBorder="1" applyAlignment="1">
      <alignment horizontal="right"/>
    </xf>
    <xf numFmtId="164" fontId="75" fillId="0" borderId="0" xfId="0" applyNumberFormat="1" applyFont="1"/>
    <xf numFmtId="3" fontId="75" fillId="0" borderId="0" xfId="0" applyNumberFormat="1" applyFont="1"/>
    <xf numFmtId="1" fontId="71" fillId="0" borderId="121" xfId="0" applyNumberFormat="1" applyFont="1" applyBorder="1" applyAlignment="1">
      <alignment horizontal="right"/>
    </xf>
    <xf numFmtId="3" fontId="68" fillId="0" borderId="38" xfId="0" applyNumberFormat="1" applyFont="1" applyBorder="1"/>
    <xf numFmtId="3" fontId="67" fillId="0" borderId="37" xfId="0" applyNumberFormat="1" applyFont="1" applyBorder="1"/>
    <xf numFmtId="3" fontId="68" fillId="0" borderId="121" xfId="0" applyNumberFormat="1" applyFont="1" applyBorder="1"/>
    <xf numFmtId="164" fontId="67" fillId="0" borderId="0" xfId="0" applyNumberFormat="1" applyFont="1"/>
    <xf numFmtId="1" fontId="70" fillId="0" borderId="121" xfId="0" applyNumberFormat="1" applyFont="1" applyBorder="1" applyAlignment="1">
      <alignment horizontal="right"/>
    </xf>
    <xf numFmtId="1" fontId="70" fillId="0" borderId="126" xfId="0" applyNumberFormat="1" applyFont="1" applyBorder="1" applyAlignment="1">
      <alignment horizontal="left" wrapText="1"/>
    </xf>
    <xf numFmtId="3" fontId="70" fillId="0" borderId="38" xfId="0" applyNumberFormat="1" applyFont="1" applyBorder="1" applyAlignment="1">
      <alignment wrapText="1"/>
    </xf>
    <xf numFmtId="3" fontId="67" fillId="0" borderId="121" xfId="0" applyNumberFormat="1" applyFont="1" applyBorder="1"/>
    <xf numFmtId="1" fontId="71" fillId="0" borderId="121" xfId="0" applyNumberFormat="1" applyFont="1" applyBorder="1"/>
    <xf numFmtId="1" fontId="70" fillId="0" borderId="12" xfId="0" applyNumberFormat="1" applyFont="1" applyBorder="1" applyAlignment="1">
      <alignment horizontal="left"/>
    </xf>
    <xf numFmtId="1" fontId="67" fillId="0" borderId="0" xfId="0" applyNumberFormat="1" applyFont="1" applyAlignment="1">
      <alignment horizontal="left"/>
    </xf>
    <xf numFmtId="3" fontId="67" fillId="0" borderId="23" xfId="0" applyNumberFormat="1" applyFont="1" applyBorder="1" applyAlignment="1">
      <alignment horizontal="center"/>
    </xf>
    <xf numFmtId="1" fontId="71" fillId="10" borderId="121" xfId="0" applyNumberFormat="1" applyFont="1" applyFill="1" applyBorder="1"/>
    <xf numFmtId="3" fontId="76" fillId="10" borderId="121" xfId="0" applyNumberFormat="1" applyFont="1" applyFill="1" applyBorder="1"/>
    <xf numFmtId="3" fontId="77" fillId="0" borderId="121" xfId="0" applyNumberFormat="1" applyFont="1" applyBorder="1"/>
    <xf numFmtId="3" fontId="78" fillId="0" borderId="0" xfId="0" applyNumberFormat="1" applyFont="1"/>
    <xf numFmtId="0" fontId="70" fillId="0" borderId="121" xfId="0" applyFont="1" applyBorder="1" applyAlignment="1">
      <alignment wrapText="1"/>
    </xf>
    <xf numFmtId="0" fontId="70" fillId="0" borderId="38" xfId="0" applyFont="1" applyBorder="1" applyAlignment="1">
      <alignment wrapText="1"/>
    </xf>
    <xf numFmtId="0" fontId="77" fillId="0" borderId="126" xfId="0" applyFont="1" applyBorder="1"/>
    <xf numFmtId="3" fontId="78" fillId="0" borderId="38" xfId="0" applyNumberFormat="1" applyFont="1" applyBorder="1"/>
    <xf numFmtId="0" fontId="68" fillId="0" borderId="126" xfId="0" applyFont="1" applyBorder="1"/>
    <xf numFmtId="3" fontId="67" fillId="0" borderId="38" xfId="0" applyNumberFormat="1" applyFont="1" applyBorder="1"/>
    <xf numFmtId="1" fontId="67" fillId="0" borderId="126" xfId="0" applyNumberFormat="1" applyFont="1" applyBorder="1" applyAlignment="1">
      <alignment horizontal="left" wrapText="1"/>
    </xf>
    <xf numFmtId="0" fontId="67" fillId="0" borderId="38" xfId="0" applyFont="1" applyBorder="1" applyAlignment="1">
      <alignment wrapText="1"/>
    </xf>
    <xf numFmtId="0" fontId="67" fillId="0" borderId="126" xfId="0" applyFont="1" applyBorder="1" applyAlignment="1">
      <alignment wrapText="1"/>
    </xf>
    <xf numFmtId="0" fontId="70" fillId="0" borderId="126" xfId="0" applyFont="1" applyBorder="1" applyAlignment="1">
      <alignment wrapText="1"/>
    </xf>
    <xf numFmtId="0" fontId="67" fillId="0" borderId="37" xfId="0" applyFont="1" applyBorder="1" applyAlignment="1">
      <alignment wrapText="1"/>
    </xf>
    <xf numFmtId="1" fontId="70" fillId="0" borderId="121" xfId="0" applyNumberFormat="1" applyFont="1" applyBorder="1"/>
    <xf numFmtId="1" fontId="67" fillId="0" borderId="121" xfId="0" applyNumberFormat="1" applyFont="1" applyBorder="1" applyAlignment="1">
      <alignment horizontal="left" wrapText="1"/>
    </xf>
    <xf numFmtId="3" fontId="70" fillId="0" borderId="121" xfId="0" applyNumberFormat="1" applyFont="1" applyBorder="1"/>
    <xf numFmtId="1" fontId="70" fillId="0" borderId="0" xfId="0" applyNumberFormat="1" applyFont="1" applyAlignment="1">
      <alignment horizontal="right"/>
    </xf>
    <xf numFmtId="1" fontId="65" fillId="0" borderId="0" xfId="0" applyNumberFormat="1" applyFont="1" applyAlignment="1">
      <alignment horizontal="right"/>
    </xf>
    <xf numFmtId="3" fontId="65" fillId="0" borderId="0" xfId="0" applyNumberFormat="1" applyFont="1" applyAlignment="1">
      <alignment horizontal="center"/>
    </xf>
    <xf numFmtId="168" fontId="65" fillId="0" borderId="0" xfId="0" applyNumberFormat="1" applyFont="1" applyAlignment="1">
      <alignment horizontal="center"/>
    </xf>
    <xf numFmtId="3" fontId="65" fillId="0" borderId="0" xfId="0" applyNumberFormat="1" applyFont="1" applyAlignment="1">
      <alignment horizontal="right"/>
    </xf>
    <xf numFmtId="1" fontId="65" fillId="0" borderId="0" xfId="0" applyNumberFormat="1" applyFont="1" applyAlignment="1">
      <alignment horizontal="left"/>
    </xf>
    <xf numFmtId="3" fontId="70" fillId="0" borderId="0" xfId="0" applyNumberFormat="1" applyFont="1" applyAlignment="1">
      <alignment horizontal="center"/>
    </xf>
    <xf numFmtId="3" fontId="68" fillId="0" borderId="0" xfId="0" applyNumberFormat="1" applyFont="1" applyAlignment="1">
      <alignment horizontal="left"/>
    </xf>
    <xf numFmtId="3" fontId="79" fillId="0" borderId="0" xfId="0" applyNumberFormat="1" applyFont="1" applyAlignment="1">
      <alignment horizontal="left"/>
    </xf>
    <xf numFmtId="3" fontId="71" fillId="0" borderId="0" xfId="0" applyNumberFormat="1" applyFont="1" applyAlignment="1" applyProtection="1">
      <alignment horizontal="left"/>
      <protection locked="0"/>
    </xf>
    <xf numFmtId="3" fontId="70" fillId="0" borderId="0" xfId="0" applyNumberFormat="1" applyFont="1" applyAlignment="1" applyProtection="1">
      <alignment horizontal="right"/>
      <protection locked="0"/>
    </xf>
    <xf numFmtId="1" fontId="71" fillId="0" borderId="0" xfId="0" applyNumberFormat="1" applyFont="1" applyAlignment="1" applyProtection="1">
      <alignment horizontal="left"/>
      <protection locked="0"/>
    </xf>
    <xf numFmtId="3" fontId="70" fillId="0" borderId="0" xfId="0" applyNumberFormat="1" applyFont="1" applyProtection="1">
      <protection locked="0"/>
    </xf>
    <xf numFmtId="3" fontId="69" fillId="0" borderId="121" xfId="0" applyNumberFormat="1" applyFont="1" applyBorder="1" applyAlignment="1">
      <alignment horizontal="center"/>
    </xf>
    <xf numFmtId="3" fontId="69" fillId="0" borderId="121" xfId="0" applyNumberFormat="1" applyFont="1" applyBorder="1"/>
    <xf numFmtId="3" fontId="71" fillId="0" borderId="126" xfId="0" applyNumberFormat="1" applyFont="1" applyBorder="1" applyAlignment="1">
      <alignment horizontal="center"/>
    </xf>
    <xf numFmtId="3" fontId="69" fillId="0" borderId="37" xfId="0" applyNumberFormat="1" applyFont="1" applyBorder="1" applyAlignment="1">
      <alignment horizontal="left"/>
    </xf>
    <xf numFmtId="3" fontId="71" fillId="0" borderId="124" xfId="0" applyNumberFormat="1" applyFont="1" applyBorder="1" applyAlignment="1">
      <alignment horizontal="center"/>
    </xf>
    <xf numFmtId="3" fontId="69" fillId="0" borderId="0" xfId="0" applyNumberFormat="1" applyFont="1"/>
    <xf numFmtId="1" fontId="69" fillId="0" borderId="121" xfId="0" applyNumberFormat="1" applyFont="1" applyBorder="1" applyAlignment="1">
      <alignment horizontal="center" wrapText="1"/>
    </xf>
    <xf numFmtId="3" fontId="71" fillId="0" borderId="121" xfId="0" applyNumberFormat="1" applyFont="1" applyBorder="1" applyAlignment="1">
      <alignment horizontal="center" wrapText="1"/>
    </xf>
    <xf numFmtId="3" fontId="69" fillId="0" borderId="121" xfId="0" applyNumberFormat="1" applyFont="1" applyBorder="1" applyAlignment="1">
      <alignment horizontal="center" wrapText="1"/>
    </xf>
    <xf numFmtId="3" fontId="71" fillId="0" borderId="125" xfId="0" applyNumberFormat="1" applyFont="1" applyBorder="1" applyAlignment="1">
      <alignment horizontal="center" wrapText="1"/>
    </xf>
    <xf numFmtId="1" fontId="80" fillId="0" borderId="121" xfId="0" applyNumberFormat="1" applyFont="1" applyBorder="1" applyAlignment="1">
      <alignment horizontal="center" wrapText="1"/>
    </xf>
    <xf numFmtId="3" fontId="80" fillId="0" borderId="121" xfId="0" applyNumberFormat="1" applyFont="1" applyBorder="1" applyAlignment="1">
      <alignment horizontal="left"/>
    </xf>
    <xf numFmtId="3" fontId="80" fillId="0" borderId="121" xfId="0" applyNumberFormat="1" applyFont="1" applyBorder="1" applyAlignment="1">
      <alignment horizontal="right" wrapText="1"/>
    </xf>
    <xf numFmtId="3" fontId="80" fillId="0" borderId="121" xfId="0" applyNumberFormat="1" applyFont="1" applyBorder="1" applyAlignment="1">
      <alignment horizontal="center" wrapText="1"/>
    </xf>
    <xf numFmtId="3" fontId="81" fillId="0" borderId="121" xfId="0" applyNumberFormat="1" applyFont="1" applyBorder="1" applyAlignment="1">
      <alignment horizontal="center" wrapText="1"/>
    </xf>
    <xf numFmtId="3" fontId="80" fillId="0" borderId="0" xfId="0" applyNumberFormat="1" applyFont="1"/>
    <xf numFmtId="1" fontId="65" fillId="10" borderId="121" xfId="0" applyNumberFormat="1" applyFont="1" applyFill="1" applyBorder="1" applyAlignment="1">
      <alignment horizontal="right"/>
    </xf>
    <xf numFmtId="3" fontId="82" fillId="10" borderId="121" xfId="0" applyNumberFormat="1" applyFont="1" applyFill="1" applyBorder="1"/>
    <xf numFmtId="3" fontId="83" fillId="10" borderId="121" xfId="0" applyNumberFormat="1" applyFont="1" applyFill="1" applyBorder="1" applyAlignment="1">
      <alignment horizontal="right"/>
    </xf>
    <xf numFmtId="3" fontId="69" fillId="0" borderId="0" xfId="0" applyNumberFormat="1" applyFont="1" applyAlignment="1">
      <alignment horizontal="center" wrapText="1"/>
    </xf>
    <xf numFmtId="3" fontId="69" fillId="0" borderId="0" xfId="0" applyNumberFormat="1" applyFont="1" applyAlignment="1">
      <alignment horizontal="center"/>
    </xf>
    <xf numFmtId="3" fontId="65" fillId="10" borderId="0" xfId="0" applyNumberFormat="1" applyFont="1" applyFill="1"/>
    <xf numFmtId="1" fontId="69" fillId="0" borderId="121" xfId="0" applyNumberFormat="1" applyFont="1" applyBorder="1" applyAlignment="1">
      <alignment horizontal="right"/>
    </xf>
    <xf numFmtId="164" fontId="69" fillId="0" borderId="0" xfId="0" applyNumberFormat="1" applyFont="1"/>
    <xf numFmtId="1" fontId="65" fillId="0" borderId="121" xfId="0" applyNumberFormat="1" applyFont="1" applyBorder="1" applyAlignment="1">
      <alignment horizontal="right"/>
    </xf>
    <xf numFmtId="3" fontId="65" fillId="0" borderId="121" xfId="0" applyNumberFormat="1" applyFont="1" applyBorder="1" applyAlignment="1">
      <alignment wrapText="1"/>
    </xf>
    <xf numFmtId="3" fontId="65" fillId="0" borderId="121" xfId="0" applyNumberFormat="1" applyFont="1" applyBorder="1"/>
    <xf numFmtId="164" fontId="65" fillId="0" borderId="0" xfId="0" applyNumberFormat="1" applyFont="1"/>
    <xf numFmtId="1" fontId="69" fillId="0" borderId="121" xfId="0" applyNumberFormat="1" applyFont="1" applyBorder="1"/>
    <xf numFmtId="0" fontId="69" fillId="0" borderId="121" xfId="0" applyFont="1" applyBorder="1" applyAlignment="1">
      <alignment wrapText="1"/>
    </xf>
    <xf numFmtId="0" fontId="69" fillId="0" borderId="121" xfId="0" applyFont="1" applyBorder="1"/>
    <xf numFmtId="1" fontId="65" fillId="0" borderId="121" xfId="0" applyNumberFormat="1" applyFont="1" applyBorder="1"/>
    <xf numFmtId="1" fontId="65" fillId="0" borderId="121" xfId="0" applyNumberFormat="1" applyFont="1" applyBorder="1" applyAlignment="1">
      <alignment horizontal="left"/>
    </xf>
    <xf numFmtId="3" fontId="70" fillId="0" borderId="121" xfId="0" applyNumberFormat="1" applyFont="1" applyBorder="1" applyAlignment="1">
      <alignment horizontal="center"/>
    </xf>
    <xf numFmtId="3" fontId="70" fillId="0" borderId="121" xfId="0" applyNumberFormat="1" applyFont="1" applyBorder="1" applyAlignment="1">
      <alignment horizontal="right"/>
    </xf>
    <xf numFmtId="1" fontId="69" fillId="10" borderId="121" xfId="0" applyNumberFormat="1" applyFont="1" applyFill="1" applyBorder="1"/>
    <xf numFmtId="3" fontId="83" fillId="10" borderId="121" xfId="0" applyNumberFormat="1" applyFont="1" applyFill="1" applyBorder="1"/>
    <xf numFmtId="0" fontId="65" fillId="0" borderId="121" xfId="0" applyFont="1" applyBorder="1" applyAlignment="1">
      <alignment wrapText="1"/>
    </xf>
    <xf numFmtId="3" fontId="69" fillId="0" borderId="37" xfId="0" applyNumberFormat="1" applyFont="1" applyBorder="1"/>
    <xf numFmtId="3" fontId="69" fillId="0" borderId="127" xfId="0" applyNumberFormat="1" applyFont="1" applyBorder="1"/>
    <xf numFmtId="3" fontId="65" fillId="0" borderId="127" xfId="0" applyNumberFormat="1" applyFont="1" applyBorder="1"/>
    <xf numFmtId="3" fontId="65" fillId="0" borderId="128" xfId="0" applyNumberFormat="1" applyFont="1" applyBorder="1"/>
    <xf numFmtId="3" fontId="6" fillId="3" borderId="101" xfId="0" applyNumberFormat="1" applyFont="1" applyFill="1" applyBorder="1"/>
    <xf numFmtId="3" fontId="11" fillId="5" borderId="0" xfId="0" applyNumberFormat="1" applyFont="1" applyFill="1"/>
    <xf numFmtId="3" fontId="69" fillId="0" borderId="121" xfId="0" applyNumberFormat="1" applyFont="1" applyBorder="1" applyAlignment="1">
      <alignment vertical="center"/>
    </xf>
    <xf numFmtId="3" fontId="65" fillId="0" borderId="121" xfId="0" applyNumberFormat="1" applyFont="1" applyBorder="1" applyAlignment="1">
      <alignment vertical="center"/>
    </xf>
    <xf numFmtId="3" fontId="84" fillId="9" borderId="51" xfId="0" applyNumberFormat="1" applyFont="1" applyFill="1" applyBorder="1"/>
    <xf numFmtId="3" fontId="54" fillId="0" borderId="44" xfId="0" applyNumberFormat="1" applyFont="1" applyBorder="1"/>
    <xf numFmtId="3" fontId="54" fillId="0" borderId="26" xfId="0" applyNumberFormat="1" applyFont="1" applyBorder="1"/>
    <xf numFmtId="3" fontId="39" fillId="0" borderId="28" xfId="0" applyNumberFormat="1" applyFont="1" applyBorder="1"/>
    <xf numFmtId="3" fontId="56" fillId="2" borderId="121" xfId="0" quotePrefix="1" applyNumberFormat="1" applyFont="1" applyFill="1" applyBorder="1"/>
    <xf numFmtId="0" fontId="1" fillId="7" borderId="104" xfId="0" quotePrefix="1" applyFont="1" applyFill="1" applyBorder="1" applyAlignment="1">
      <alignment horizontal="right"/>
    </xf>
    <xf numFmtId="1" fontId="18" fillId="4" borderId="104" xfId="0" applyNumberFormat="1" applyFont="1" applyFill="1" applyBorder="1" applyAlignment="1">
      <alignment horizontal="right"/>
    </xf>
    <xf numFmtId="1" fontId="12" fillId="4" borderId="107" xfId="0" applyNumberFormat="1" applyFont="1" applyFill="1" applyBorder="1"/>
    <xf numFmtId="1" fontId="6" fillId="4" borderId="73" xfId="0" applyNumberFormat="1" applyFont="1" applyFill="1" applyBorder="1"/>
    <xf numFmtId="0" fontId="18" fillId="4" borderId="87" xfId="0" applyFont="1" applyFill="1" applyBorder="1"/>
    <xf numFmtId="3" fontId="18" fillId="4" borderId="86" xfId="0" applyNumberFormat="1" applyFont="1" applyFill="1" applyBorder="1"/>
    <xf numFmtId="3" fontId="56" fillId="5" borderId="121" xfId="0" applyNumberFormat="1" applyFont="1" applyFill="1" applyBorder="1"/>
    <xf numFmtId="3" fontId="55" fillId="5" borderId="121" xfId="0" applyNumberFormat="1" applyFont="1" applyFill="1" applyBorder="1"/>
    <xf numFmtId="3" fontId="4" fillId="2" borderId="64" xfId="0" applyNumberFormat="1" applyFont="1" applyFill="1" applyBorder="1"/>
    <xf numFmtId="3" fontId="4" fillId="2" borderId="79" xfId="0" applyNumberFormat="1" applyFont="1" applyFill="1" applyBorder="1"/>
    <xf numFmtId="3" fontId="4" fillId="2" borderId="93" xfId="0" applyNumberFormat="1" applyFont="1" applyFill="1" applyBorder="1"/>
    <xf numFmtId="3" fontId="18" fillId="4" borderId="101" xfId="0" applyNumberFormat="1" applyFont="1" applyFill="1" applyBorder="1"/>
    <xf numFmtId="3" fontId="5" fillId="4" borderId="104" xfId="0" applyNumberFormat="1" applyFont="1" applyFill="1" applyBorder="1"/>
    <xf numFmtId="3" fontId="18" fillId="4" borderId="107" xfId="0" applyNumberFormat="1" applyFont="1" applyFill="1" applyBorder="1"/>
    <xf numFmtId="3" fontId="6" fillId="4" borderId="56" xfId="0" applyNumberFormat="1" applyFont="1" applyFill="1" applyBorder="1"/>
    <xf numFmtId="0" fontId="85" fillId="0" borderId="0" xfId="0" applyFont="1"/>
    <xf numFmtId="1" fontId="6" fillId="2" borderId="58" xfId="0" applyNumberFormat="1" applyFont="1" applyFill="1" applyBorder="1"/>
    <xf numFmtId="1" fontId="18" fillId="2" borderId="87" xfId="0" applyNumberFormat="1" applyFont="1" applyFill="1" applyBorder="1"/>
    <xf numFmtId="3" fontId="6" fillId="2" borderId="104" xfId="0" applyNumberFormat="1" applyFont="1" applyFill="1" applyBorder="1"/>
    <xf numFmtId="3" fontId="1" fillId="4" borderId="0" xfId="0" applyNumberFormat="1" applyFont="1" applyFill="1"/>
    <xf numFmtId="1" fontId="6" fillId="2" borderId="119" xfId="0" applyNumberFormat="1" applyFont="1" applyFill="1" applyBorder="1"/>
    <xf numFmtId="1" fontId="18" fillId="2" borderId="107" xfId="0" applyNumberFormat="1" applyFont="1" applyFill="1" applyBorder="1"/>
    <xf numFmtId="1" fontId="40" fillId="4" borderId="0" xfId="0" applyNumberFormat="1" applyFont="1" applyFill="1"/>
    <xf numFmtId="1" fontId="6" fillId="2" borderId="101" xfId="0" applyNumberFormat="1" applyFont="1" applyFill="1" applyBorder="1"/>
    <xf numFmtId="1" fontId="6" fillId="2" borderId="107" xfId="0" applyNumberFormat="1" applyFont="1" applyFill="1" applyBorder="1"/>
    <xf numFmtId="3" fontId="17" fillId="2" borderId="83" xfId="0" applyNumberFormat="1" applyFont="1" applyFill="1" applyBorder="1"/>
    <xf numFmtId="3" fontId="6" fillId="3" borderId="67" xfId="0" applyNumberFormat="1" applyFont="1" applyFill="1" applyBorder="1"/>
    <xf numFmtId="3" fontId="33" fillId="2" borderId="101" xfId="0" applyNumberFormat="1" applyFont="1" applyFill="1" applyBorder="1"/>
    <xf numFmtId="164" fontId="33" fillId="0" borderId="101" xfId="0" applyNumberFormat="1" applyFont="1" applyBorder="1"/>
    <xf numFmtId="3" fontId="33" fillId="2" borderId="104" xfId="0" applyNumberFormat="1" applyFont="1" applyFill="1" applyBorder="1"/>
    <xf numFmtId="164" fontId="33" fillId="0" borderId="104" xfId="0" applyNumberFormat="1" applyFont="1" applyBorder="1"/>
    <xf numFmtId="164" fontId="33" fillId="2" borderId="104" xfId="0" applyNumberFormat="1" applyFont="1" applyFill="1" applyBorder="1"/>
    <xf numFmtId="3" fontId="11" fillId="2" borderId="0" xfId="0" applyNumberFormat="1" applyFont="1" applyFill="1"/>
    <xf numFmtId="3" fontId="14" fillId="2" borderId="0" xfId="0" applyNumberFormat="1" applyFont="1" applyFill="1"/>
    <xf numFmtId="3" fontId="6" fillId="3" borderId="119" xfId="0" applyNumberFormat="1" applyFont="1" applyFill="1" applyBorder="1"/>
    <xf numFmtId="3" fontId="6" fillId="3" borderId="107" xfId="0" applyNumberFormat="1" applyFont="1" applyFill="1" applyBorder="1"/>
    <xf numFmtId="3" fontId="33" fillId="2" borderId="107" xfId="0" applyNumberFormat="1" applyFont="1" applyFill="1" applyBorder="1"/>
    <xf numFmtId="3" fontId="17" fillId="2" borderId="68" xfId="0" applyNumberFormat="1" applyFont="1" applyFill="1" applyBorder="1"/>
    <xf numFmtId="167" fontId="17" fillId="0" borderId="57" xfId="0" applyNumberFormat="1" applyFont="1" applyBorder="1"/>
    <xf numFmtId="3" fontId="33" fillId="0" borderId="83" xfId="0" applyNumberFormat="1" applyFont="1" applyBorder="1"/>
    <xf numFmtId="3" fontId="6" fillId="2" borderId="31" xfId="0" applyNumberFormat="1" applyFont="1" applyFill="1" applyBorder="1"/>
    <xf numFmtId="3" fontId="40" fillId="2" borderId="0" xfId="0" applyNumberFormat="1" applyFont="1" applyFill="1" applyAlignment="1">
      <alignment horizontal="right" vertical="center" wrapText="1"/>
    </xf>
    <xf numFmtId="0" fontId="65" fillId="0" borderId="121" xfId="0" applyFont="1" applyBorder="1" applyAlignment="1">
      <alignment vertical="center" wrapText="1"/>
    </xf>
    <xf numFmtId="1" fontId="65" fillId="0" borderId="121" xfId="0" applyNumberFormat="1" applyFont="1" applyBorder="1" applyAlignment="1">
      <alignment vertical="center"/>
    </xf>
    <xf numFmtId="3" fontId="86" fillId="0" borderId="121" xfId="0" applyNumberFormat="1" applyFont="1" applyBorder="1"/>
    <xf numFmtId="0" fontId="70" fillId="0" borderId="121" xfId="0" applyFont="1" applyBorder="1" applyAlignment="1">
      <alignment vertical="center" wrapText="1"/>
    </xf>
    <xf numFmtId="1" fontId="70" fillId="0" borderId="126" xfId="0" applyNumberFormat="1" applyFont="1" applyBorder="1" applyAlignment="1">
      <alignment horizontal="left" vertical="center" wrapText="1"/>
    </xf>
    <xf numFmtId="0" fontId="70" fillId="0" borderId="38" xfId="0" applyFont="1" applyBorder="1" applyAlignment="1">
      <alignment vertical="center" wrapText="1"/>
    </xf>
    <xf numFmtId="3" fontId="67" fillId="0" borderId="121" xfId="0" applyNumberFormat="1" applyFont="1" applyBorder="1" applyAlignment="1">
      <alignment vertical="center"/>
    </xf>
    <xf numFmtId="3" fontId="67" fillId="0" borderId="0" xfId="0" applyNumberFormat="1" applyFont="1" applyAlignment="1">
      <alignment vertical="center"/>
    </xf>
    <xf numFmtId="1" fontId="70" fillId="0" borderId="121" xfId="0" applyNumberFormat="1" applyFont="1" applyBorder="1" applyAlignment="1">
      <alignment horizontal="right" vertical="center"/>
    </xf>
    <xf numFmtId="3" fontId="70" fillId="0" borderId="38" xfId="0" applyNumberFormat="1" applyFont="1" applyBorder="1" applyAlignment="1">
      <alignment vertical="center" wrapText="1"/>
    </xf>
    <xf numFmtId="3" fontId="59" fillId="5" borderId="101" xfId="0" applyNumberFormat="1" applyFont="1" applyFill="1" applyBorder="1"/>
    <xf numFmtId="3" fontId="59" fillId="5" borderId="104" xfId="0" applyNumberFormat="1" applyFont="1" applyFill="1" applyBorder="1"/>
    <xf numFmtId="3" fontId="59" fillId="5" borderId="119" xfId="0" applyNumberFormat="1" applyFont="1" applyFill="1" applyBorder="1"/>
    <xf numFmtId="3" fontId="59" fillId="5" borderId="107" xfId="0" applyNumberFormat="1" applyFont="1" applyFill="1" applyBorder="1"/>
    <xf numFmtId="3" fontId="59" fillId="5" borderId="67" xfId="0" applyNumberFormat="1" applyFont="1" applyFill="1" applyBorder="1"/>
    <xf numFmtId="3" fontId="59" fillId="5" borderId="82" xfId="0" applyNumberFormat="1" applyFont="1" applyFill="1" applyBorder="1"/>
    <xf numFmtId="3" fontId="59" fillId="5" borderId="96" xfId="0" applyNumberFormat="1" applyFont="1" applyFill="1" applyBorder="1"/>
    <xf numFmtId="3" fontId="4" fillId="3" borderId="82" xfId="0" applyNumberFormat="1" applyFont="1" applyFill="1" applyBorder="1"/>
    <xf numFmtId="3" fontId="4" fillId="3" borderId="67" xfId="0" applyNumberFormat="1" applyFont="1" applyFill="1" applyBorder="1"/>
    <xf numFmtId="3" fontId="4" fillId="3" borderId="96" xfId="0" applyNumberFormat="1" applyFont="1" applyFill="1" applyBorder="1"/>
    <xf numFmtId="1" fontId="69" fillId="0" borderId="121" xfId="0" applyNumberFormat="1" applyFont="1" applyBorder="1" applyAlignment="1">
      <alignment vertical="center" wrapText="1"/>
    </xf>
    <xf numFmtId="3" fontId="69" fillId="0" borderId="125" xfId="0" applyNumberFormat="1" applyFont="1" applyBorder="1" applyAlignment="1">
      <alignment vertical="center" wrapText="1"/>
    </xf>
    <xf numFmtId="1" fontId="69" fillId="0" borderId="121" xfId="0" applyNumberFormat="1" applyFont="1" applyBorder="1" applyAlignment="1">
      <alignment vertical="center"/>
    </xf>
    <xf numFmtId="3" fontId="71" fillId="0" borderId="126" xfId="0" applyNumberFormat="1" applyFont="1" applyBorder="1" applyAlignment="1">
      <alignment horizontal="left" vertical="center"/>
    </xf>
    <xf numFmtId="3" fontId="71" fillId="0" borderId="38" xfId="0" applyNumberFormat="1" applyFont="1" applyBorder="1" applyAlignment="1">
      <alignment horizontal="left" vertical="center"/>
    </xf>
    <xf numFmtId="3" fontId="69" fillId="0" borderId="125" xfId="0" applyNumberFormat="1" applyFont="1" applyBorder="1" applyAlignment="1">
      <alignment horizontal="center" vertical="center" wrapText="1"/>
    </xf>
    <xf numFmtId="3" fontId="70" fillId="0" borderId="0" xfId="0" applyNumberFormat="1" applyFont="1" applyAlignment="1" applyProtection="1">
      <alignment horizontal="left"/>
      <protection locked="0"/>
    </xf>
    <xf numFmtId="3" fontId="70" fillId="0" borderId="0" xfId="0" applyNumberFormat="1" applyFont="1" applyAlignment="1">
      <alignment horizontal="left"/>
    </xf>
    <xf numFmtId="3" fontId="69" fillId="0" borderId="121" xfId="0" applyNumberFormat="1" applyFont="1" applyBorder="1" applyAlignment="1">
      <alignment horizontal="left"/>
    </xf>
    <xf numFmtId="3" fontId="69" fillId="0" borderId="121" xfId="0" applyNumberFormat="1" applyFont="1" applyBorder="1" applyAlignment="1">
      <alignment horizontal="left" vertical="center"/>
    </xf>
    <xf numFmtId="3" fontId="82" fillId="10" borderId="121" xfId="0" applyNumberFormat="1" applyFont="1" applyFill="1" applyBorder="1" applyAlignment="1">
      <alignment horizontal="left"/>
    </xf>
    <xf numFmtId="3" fontId="65" fillId="0" borderId="121" xfId="0" applyNumberFormat="1" applyFont="1" applyBorder="1" applyAlignment="1">
      <alignment horizontal="left" wrapText="1"/>
    </xf>
    <xf numFmtId="0" fontId="69" fillId="0" borderId="121" xfId="0" applyFont="1" applyBorder="1" applyAlignment="1">
      <alignment horizontal="left" wrapText="1"/>
    </xf>
    <xf numFmtId="0" fontId="69" fillId="0" borderId="121" xfId="0" applyFont="1" applyBorder="1" applyAlignment="1">
      <alignment horizontal="left"/>
    </xf>
    <xf numFmtId="3" fontId="70" fillId="0" borderId="121" xfId="0" applyNumberFormat="1" applyFont="1" applyBorder="1" applyAlignment="1">
      <alignment horizontal="left"/>
    </xf>
    <xf numFmtId="0" fontId="65" fillId="0" borderId="121" xfId="0" applyFont="1" applyBorder="1" applyAlignment="1">
      <alignment horizontal="left" wrapText="1"/>
    </xf>
    <xf numFmtId="0" fontId="65" fillId="0" borderId="12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0" fillId="0" borderId="114" xfId="0" applyFont="1" applyBorder="1" applyAlignment="1">
      <alignment wrapText="1"/>
    </xf>
    <xf numFmtId="0" fontId="67" fillId="0" borderId="35" xfId="0" applyFont="1" applyBorder="1" applyAlignment="1">
      <alignment wrapText="1"/>
    </xf>
    <xf numFmtId="3" fontId="67" fillId="0" borderId="115" xfId="0" applyNumberFormat="1" applyFont="1" applyBorder="1"/>
    <xf numFmtId="1" fontId="70" fillId="0" borderId="125" xfId="0" applyNumberFormat="1" applyFont="1" applyBorder="1" applyAlignment="1">
      <alignment horizontal="right"/>
    </xf>
    <xf numFmtId="1" fontId="67" fillId="0" borderId="125" xfId="0" applyNumberFormat="1" applyFont="1" applyBorder="1" applyAlignment="1">
      <alignment horizontal="left" wrapText="1"/>
    </xf>
    <xf numFmtId="3" fontId="70" fillId="0" borderId="125" xfId="0" applyNumberFormat="1" applyFont="1" applyBorder="1"/>
    <xf numFmtId="3" fontId="67" fillId="0" borderId="125" xfId="0" applyNumberFormat="1" applyFont="1" applyBorder="1"/>
    <xf numFmtId="1" fontId="70" fillId="11" borderId="28" xfId="0" applyNumberFormat="1" applyFont="1" applyFill="1" applyBorder="1"/>
    <xf numFmtId="3" fontId="68" fillId="11" borderId="44" xfId="0" applyNumberFormat="1" applyFont="1" applyFill="1" applyBorder="1"/>
    <xf numFmtId="0" fontId="65" fillId="0" borderId="28" xfId="0" applyFont="1" applyBorder="1" applyAlignment="1">
      <alignment wrapText="1"/>
    </xf>
    <xf numFmtId="0" fontId="86" fillId="0" borderId="44" xfId="0" applyFont="1" applyBorder="1" applyAlignment="1">
      <alignment horizontal="left" wrapText="1"/>
    </xf>
    <xf numFmtId="3" fontId="65" fillId="0" borderId="121" xfId="0" applyNumberFormat="1" applyFont="1" applyBorder="1" applyAlignment="1">
      <alignment horizontal="right" vertical="center"/>
    </xf>
    <xf numFmtId="3" fontId="0" fillId="0" borderId="0" xfId="0" applyNumberFormat="1"/>
    <xf numFmtId="3" fontId="93" fillId="0" borderId="0" xfId="0" applyNumberFormat="1" applyFont="1" applyAlignment="1">
      <alignment vertical="center"/>
    </xf>
    <xf numFmtId="0" fontId="0" fillId="0" borderId="121" xfId="0" applyBorder="1"/>
    <xf numFmtId="3" fontId="89" fillId="0" borderId="121" xfId="0" applyNumberFormat="1" applyFont="1" applyBorder="1"/>
    <xf numFmtId="3" fontId="89" fillId="0" borderId="121" xfId="0" applyNumberFormat="1" applyFont="1" applyBorder="1" applyAlignment="1">
      <alignment vertical="center"/>
    </xf>
    <xf numFmtId="3" fontId="86" fillId="0" borderId="44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3" fontId="94" fillId="0" borderId="0" xfId="0" applyNumberFormat="1" applyFont="1"/>
    <xf numFmtId="0" fontId="95" fillId="0" borderId="0" xfId="0" applyFont="1"/>
    <xf numFmtId="3" fontId="65" fillId="0" borderId="121" xfId="0" applyNumberFormat="1" applyFont="1" applyBorder="1" applyAlignment="1">
      <alignment horizontal="center" wrapText="1"/>
    </xf>
    <xf numFmtId="4" fontId="0" fillId="0" borderId="0" xfId="0" applyNumberFormat="1"/>
    <xf numFmtId="3" fontId="96" fillId="0" borderId="0" xfId="0" applyNumberFormat="1" applyFont="1"/>
    <xf numFmtId="4" fontId="96" fillId="0" borderId="0" xfId="0" applyNumberFormat="1" applyFont="1"/>
    <xf numFmtId="3" fontId="97" fillId="0" borderId="0" xfId="0" applyNumberFormat="1" applyFont="1"/>
    <xf numFmtId="3" fontId="98" fillId="0" borderId="121" xfId="0" applyNumberFormat="1" applyFont="1" applyBorder="1"/>
    <xf numFmtId="3" fontId="98" fillId="0" borderId="0" xfId="0" applyNumberFormat="1" applyFont="1"/>
    <xf numFmtId="3" fontId="87" fillId="0" borderId="121" xfId="0" applyNumberFormat="1" applyFont="1" applyBorder="1"/>
    <xf numFmtId="3" fontId="88" fillId="0" borderId="121" xfId="0" applyNumberFormat="1" applyFont="1" applyBorder="1" applyAlignment="1">
      <alignment vertical="center"/>
    </xf>
    <xf numFmtId="3" fontId="88" fillId="0" borderId="121" xfId="0" applyNumberFormat="1" applyFont="1" applyBorder="1"/>
    <xf numFmtId="3" fontId="71" fillId="0" borderId="121" xfId="0" applyNumberFormat="1" applyFont="1" applyBorder="1" applyAlignment="1">
      <alignment horizontal="left" vertical="center"/>
    </xf>
    <xf numFmtId="3" fontId="69" fillId="0" borderId="121" xfId="0" applyNumberFormat="1" applyFont="1" applyBorder="1" applyAlignment="1">
      <alignment vertical="center" wrapText="1"/>
    </xf>
    <xf numFmtId="3" fontId="89" fillId="0" borderId="19" xfId="0" applyNumberFormat="1" applyFont="1" applyBorder="1" applyAlignment="1">
      <alignment vertical="center"/>
    </xf>
    <xf numFmtId="3" fontId="83" fillId="12" borderId="121" xfId="0" applyNumberFormat="1" applyFont="1" applyFill="1" applyBorder="1" applyAlignment="1">
      <alignment horizontal="right"/>
    </xf>
    <xf numFmtId="0" fontId="99" fillId="0" borderId="0" xfId="0" applyFont="1"/>
    <xf numFmtId="3" fontId="89" fillId="0" borderId="0" xfId="0" applyNumberFormat="1" applyFont="1"/>
    <xf numFmtId="0" fontId="68" fillId="11" borderId="44" xfId="0" applyFont="1" applyFill="1" applyBorder="1" applyAlignment="1">
      <alignment horizontal="left" wrapText="1"/>
    </xf>
    <xf numFmtId="0" fontId="68" fillId="0" borderId="126" xfId="0" applyFont="1" applyBorder="1" applyAlignment="1">
      <alignment horizontal="left" wrapText="1"/>
    </xf>
    <xf numFmtId="0" fontId="68" fillId="0" borderId="38" xfId="0" applyFont="1" applyBorder="1" applyAlignment="1">
      <alignment horizontal="left" wrapText="1"/>
    </xf>
    <xf numFmtId="0" fontId="68" fillId="0" borderId="126" xfId="0" applyFont="1" applyBorder="1" applyAlignment="1">
      <alignment horizontal="left"/>
    </xf>
    <xf numFmtId="0" fontId="68" fillId="0" borderId="38" xfId="0" applyFont="1" applyBorder="1" applyAlignment="1">
      <alignment horizontal="left"/>
    </xf>
    <xf numFmtId="3" fontId="74" fillId="10" borderId="126" xfId="0" applyNumberFormat="1" applyFont="1" applyFill="1" applyBorder="1" applyAlignment="1">
      <alignment horizontal="left"/>
    </xf>
    <xf numFmtId="3" fontId="74" fillId="10" borderId="38" xfId="0" applyNumberFormat="1" applyFont="1" applyFill="1" applyBorder="1" applyAlignment="1">
      <alignment horizontal="left"/>
    </xf>
    <xf numFmtId="0" fontId="77" fillId="0" borderId="126" xfId="0" applyFont="1" applyBorder="1" applyAlignment="1">
      <alignment horizontal="left" wrapText="1"/>
    </xf>
    <xf numFmtId="0" fontId="77" fillId="0" borderId="38" xfId="0" applyFont="1" applyBorder="1" applyAlignment="1">
      <alignment horizontal="left" wrapText="1"/>
    </xf>
    <xf numFmtId="3" fontId="40" fillId="4" borderId="0" xfId="0" applyNumberFormat="1" applyFont="1" applyFill="1" applyAlignment="1">
      <alignment horizontal="right" vertical="center" wrapText="1"/>
    </xf>
    <xf numFmtId="0" fontId="56" fillId="0" borderId="121" xfId="0" applyFont="1" applyBorder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3" fillId="7" borderId="43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20" fillId="7" borderId="14" xfId="0" applyFont="1" applyFill="1" applyBorder="1" applyAlignment="1">
      <alignment horizontal="right" vertical="center"/>
    </xf>
    <xf numFmtId="0" fontId="21" fillId="5" borderId="30" xfId="0" applyFont="1" applyFill="1" applyBorder="1" applyAlignment="1">
      <alignment horizontal="center"/>
    </xf>
    <xf numFmtId="0" fontId="21" fillId="5" borderId="32" xfId="0" applyFont="1" applyFill="1" applyBorder="1" applyAlignment="1">
      <alignment horizontal="center"/>
    </xf>
    <xf numFmtId="0" fontId="21" fillId="5" borderId="33" xfId="0" applyFont="1" applyFill="1" applyBorder="1" applyAlignment="1">
      <alignment horizontal="center"/>
    </xf>
    <xf numFmtId="3" fontId="20" fillId="5" borderId="22" xfId="0" applyNumberFormat="1" applyFont="1" applyFill="1" applyBorder="1" applyAlignment="1">
      <alignment horizontal="left" vertical="center"/>
    </xf>
    <xf numFmtId="3" fontId="20" fillId="5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16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3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165" fontId="4" fillId="4" borderId="0" xfId="0" applyNumberFormat="1" applyFont="1" applyFill="1" applyAlignment="1">
      <alignment horizontal="left"/>
    </xf>
    <xf numFmtId="3" fontId="4" fillId="0" borderId="0" xfId="0" applyNumberFormat="1" applyFont="1" applyAlignment="1">
      <alignment horizontal="center" vertical="center"/>
    </xf>
    <xf numFmtId="3" fontId="4" fillId="0" borderId="36" xfId="0" applyNumberFormat="1" applyFont="1" applyBorder="1" applyAlignment="1">
      <alignment horizontal="center" vertical="center"/>
    </xf>
    <xf numFmtId="3" fontId="4" fillId="0" borderId="37" xfId="0" applyNumberFormat="1" applyFont="1" applyBorder="1" applyAlignment="1">
      <alignment horizontal="center" vertical="center"/>
    </xf>
    <xf numFmtId="3" fontId="4" fillId="0" borderId="38" xfId="0" applyNumberFormat="1" applyFont="1" applyBorder="1" applyAlignment="1">
      <alignment horizontal="center" vertical="center"/>
    </xf>
    <xf numFmtId="0" fontId="1" fillId="0" borderId="104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right"/>
    </xf>
    <xf numFmtId="0" fontId="9" fillId="0" borderId="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1" fillId="0" borderId="101" xfId="0" applyFont="1" applyBorder="1" applyAlignment="1">
      <alignment horizontal="left"/>
    </xf>
    <xf numFmtId="0" fontId="1" fillId="0" borderId="107" xfId="0" applyFont="1" applyBorder="1" applyAlignment="1">
      <alignment horizontal="left"/>
    </xf>
    <xf numFmtId="0" fontId="49" fillId="7" borderId="14" xfId="0" applyFont="1" applyFill="1" applyBorder="1" applyAlignment="1">
      <alignment horizontal="right" vertical="center"/>
    </xf>
    <xf numFmtId="0" fontId="50" fillId="5" borderId="30" xfId="0" applyFont="1" applyFill="1" applyBorder="1" applyAlignment="1">
      <alignment horizontal="center"/>
    </xf>
    <xf numFmtId="0" fontId="50" fillId="5" borderId="32" xfId="0" applyFont="1" applyFill="1" applyBorder="1" applyAlignment="1">
      <alignment horizontal="center"/>
    </xf>
    <xf numFmtId="0" fontId="50" fillId="5" borderId="33" xfId="0" applyFont="1" applyFill="1" applyBorder="1" applyAlignment="1">
      <alignment horizontal="center"/>
    </xf>
    <xf numFmtId="0" fontId="22" fillId="0" borderId="0" xfId="0" applyFont="1" applyAlignment="1">
      <alignment horizontal="right"/>
    </xf>
    <xf numFmtId="3" fontId="22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right"/>
    </xf>
    <xf numFmtId="165" fontId="1" fillId="0" borderId="0" xfId="0" applyNumberFormat="1" applyFont="1" applyAlignment="1">
      <alignment horizontal="center"/>
    </xf>
    <xf numFmtId="3" fontId="42" fillId="0" borderId="0" xfId="0" applyNumberFormat="1" applyFont="1" applyAlignment="1">
      <alignment horizontal="right"/>
    </xf>
    <xf numFmtId="3" fontId="18" fillId="4" borderId="31" xfId="0" applyNumberFormat="1" applyFont="1" applyFill="1" applyBorder="1" applyAlignment="1">
      <alignment horizontal="left"/>
    </xf>
    <xf numFmtId="165" fontId="3" fillId="2" borderId="0" xfId="0" applyNumberFormat="1" applyFont="1" applyFill="1" applyAlignment="1">
      <alignment horizontal="right"/>
    </xf>
    <xf numFmtId="3" fontId="28" fillId="8" borderId="0" xfId="0" applyNumberFormat="1" applyFont="1" applyFill="1" applyAlignment="1">
      <alignment horizontal="left"/>
    </xf>
    <xf numFmtId="3" fontId="2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0" fillId="0" borderId="0" xfId="0" applyNumberFormat="1" applyFont="1" applyAlignment="1">
      <alignment horizontal="right" vertical="center" wrapText="1"/>
    </xf>
    <xf numFmtId="166" fontId="6" fillId="4" borderId="0" xfId="0" applyNumberFormat="1" applyFont="1" applyFill="1" applyAlignment="1">
      <alignment horizontal="right"/>
    </xf>
    <xf numFmtId="1" fontId="40" fillId="4" borderId="0" xfId="0" applyNumberFormat="1" applyFont="1" applyFill="1" applyAlignment="1">
      <alignment horizontal="right"/>
    </xf>
    <xf numFmtId="1" fontId="40" fillId="4" borderId="112" xfId="0" applyNumberFormat="1" applyFont="1" applyFill="1" applyBorder="1" applyAlignment="1">
      <alignment horizontal="right"/>
    </xf>
    <xf numFmtId="0" fontId="68" fillId="0" borderId="121" xfId="0" applyFont="1" applyBorder="1" applyAlignment="1">
      <alignment horizontal="left" wrapText="1"/>
    </xf>
    <xf numFmtId="3" fontId="69" fillId="0" borderId="37" xfId="0" applyNumberFormat="1" applyFont="1" applyBorder="1" applyAlignment="1">
      <alignment horizontal="center"/>
    </xf>
    <xf numFmtId="3" fontId="69" fillId="0" borderId="38" xfId="0" applyNumberFormat="1" applyFont="1" applyBorder="1" applyAlignment="1">
      <alignment horizontal="center"/>
    </xf>
    <xf numFmtId="3" fontId="69" fillId="0" borderId="0" xfId="0" applyNumberFormat="1" applyFont="1" applyAlignment="1">
      <alignment horizontal="center"/>
    </xf>
    <xf numFmtId="3" fontId="51" fillId="0" borderId="0" xfId="0" applyNumberFormat="1" applyFont="1" applyAlignment="1">
      <alignment horizontal="center" vertical="center" wrapText="1"/>
    </xf>
    <xf numFmtId="3" fontId="40" fillId="0" borderId="0" xfId="0" applyNumberFormat="1" applyFont="1" applyAlignment="1">
      <alignment horizontal="center" vertical="center" wrapText="1"/>
    </xf>
    <xf numFmtId="3" fontId="40" fillId="0" borderId="2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4">
    <cellStyle name="Normaallaad 2" xfId="2" xr:uid="{00000000-0005-0000-0000-000001000000}"/>
    <cellStyle name="Normaallaad 2 2" xfId="3" xr:uid="{00000000-0005-0000-0000-000002000000}"/>
    <cellStyle name="Normaallaad 3" xfId="1" xr:uid="{00000000-0005-0000-0000-000003000000}"/>
    <cellStyle name="Normal" xfId="0" builtinId="0"/>
  </cellStyles>
  <dxfs count="0"/>
  <tableStyles count="0" defaultTableStyle="TableStyleMedium2" defaultPivotStyle="PivotStyleLight16"/>
  <colors>
    <mruColors>
      <color rgb="FF00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2B-490D-8376-F21AE5C8B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59872"/>
        <c:axId val="180560448"/>
      </c:scatterChart>
      <c:valAx>
        <c:axId val="180559872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0448"/>
        <c:crosses val="autoZero"/>
        <c:crossBetween val="midCat"/>
        <c:majorUnit val="1"/>
      </c:valAx>
      <c:valAx>
        <c:axId val="180560448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59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7611960808564"/>
          <c:y val="5.1400554097404488E-2"/>
          <c:w val="0.79511591155817563"/>
          <c:h val="0.7724343832020997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'[1]2016_Liidud - 0,94 milj.€'!$J$50:$J$78</c:f>
              <c:numCache>
                <c:formatCode>General</c:formatCode>
                <c:ptCount val="29"/>
                <c:pt idx="0">
                  <c:v>600</c:v>
                </c:pt>
                <c:pt idx="1">
                  <c:v>1520</c:v>
                </c:pt>
                <c:pt idx="2">
                  <c:v>2390</c:v>
                </c:pt>
                <c:pt idx="3">
                  <c:v>2398</c:v>
                </c:pt>
                <c:pt idx="4">
                  <c:v>3223</c:v>
                </c:pt>
                <c:pt idx="5">
                  <c:v>3257</c:v>
                </c:pt>
                <c:pt idx="6">
                  <c:v>3385</c:v>
                </c:pt>
                <c:pt idx="7">
                  <c:v>3735</c:v>
                </c:pt>
                <c:pt idx="8">
                  <c:v>6012</c:v>
                </c:pt>
                <c:pt idx="9">
                  <c:v>7927</c:v>
                </c:pt>
                <c:pt idx="10">
                  <c:v>9372</c:v>
                </c:pt>
                <c:pt idx="11">
                  <c:v>12542</c:v>
                </c:pt>
                <c:pt idx="12">
                  <c:v>12867</c:v>
                </c:pt>
                <c:pt idx="13">
                  <c:v>17861</c:v>
                </c:pt>
                <c:pt idx="14">
                  <c:v>26237</c:v>
                </c:pt>
                <c:pt idx="15">
                  <c:v>27421</c:v>
                </c:pt>
                <c:pt idx="16">
                  <c:v>28648</c:v>
                </c:pt>
                <c:pt idx="17">
                  <c:v>33136</c:v>
                </c:pt>
                <c:pt idx="18">
                  <c:v>35139</c:v>
                </c:pt>
                <c:pt idx="19">
                  <c:v>39378</c:v>
                </c:pt>
                <c:pt idx="20">
                  <c:v>42718</c:v>
                </c:pt>
                <c:pt idx="21">
                  <c:v>45991</c:v>
                </c:pt>
                <c:pt idx="22">
                  <c:v>46459</c:v>
                </c:pt>
                <c:pt idx="23">
                  <c:v>47462</c:v>
                </c:pt>
                <c:pt idx="24">
                  <c:v>59841</c:v>
                </c:pt>
                <c:pt idx="25">
                  <c:v>93170</c:v>
                </c:pt>
                <c:pt idx="26">
                  <c:v>215071</c:v>
                </c:pt>
                <c:pt idx="27">
                  <c:v>322699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23-48BD-B888-53F092674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48064"/>
        <c:axId val="180033728"/>
      </c:lineChart>
      <c:catAx>
        <c:axId val="18024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3728"/>
        <c:crosses val="autoZero"/>
        <c:auto val="1"/>
        <c:lblAlgn val="ctr"/>
        <c:lblOffset val="100"/>
        <c:noMultiLvlLbl val="0"/>
      </c:catAx>
      <c:valAx>
        <c:axId val="180033728"/>
        <c:scaling>
          <c:logBase val="10"/>
          <c:orientation val="minMax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</a:t>
                </a:r>
              </a:p>
            </c:rich>
          </c:tx>
          <c:layout>
            <c:manualLayout>
              <c:xMode val="edge"/>
              <c:yMode val="edge"/>
              <c:x val="1.3524618323233161E-3"/>
              <c:y val="0.355881452318460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t-EE"/>
          </a:p>
        </c:txPr>
        <c:crossAx val="18024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89421119554899"/>
          <c:y val="5.2043048217753886E-2"/>
          <c:w val="0.78974718380066034"/>
          <c:h val="0.7311287571041443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'[1]2015_Liidud - 1,0 milj.€'!$B$47:$B$75</c:f>
              <c:numCache>
                <c:formatCode>General</c:formatCode>
                <c:ptCount val="29"/>
                <c:pt idx="0">
                  <c:v>35</c:v>
                </c:pt>
                <c:pt idx="1">
                  <c:v>60</c:v>
                </c:pt>
                <c:pt idx="2">
                  <c:v>65</c:v>
                </c:pt>
                <c:pt idx="3">
                  <c:v>75</c:v>
                </c:pt>
                <c:pt idx="4">
                  <c:v>76</c:v>
                </c:pt>
                <c:pt idx="5">
                  <c:v>135</c:v>
                </c:pt>
                <c:pt idx="6">
                  <c:v>142</c:v>
                </c:pt>
                <c:pt idx="7">
                  <c:v>160</c:v>
                </c:pt>
                <c:pt idx="8">
                  <c:v>174</c:v>
                </c:pt>
                <c:pt idx="9">
                  <c:v>180</c:v>
                </c:pt>
                <c:pt idx="10">
                  <c:v>234</c:v>
                </c:pt>
                <c:pt idx="11">
                  <c:v>285</c:v>
                </c:pt>
                <c:pt idx="12">
                  <c:v>293</c:v>
                </c:pt>
                <c:pt idx="13">
                  <c:v>303</c:v>
                </c:pt>
                <c:pt idx="14">
                  <c:v>340</c:v>
                </c:pt>
                <c:pt idx="15">
                  <c:v>363</c:v>
                </c:pt>
                <c:pt idx="16">
                  <c:v>437</c:v>
                </c:pt>
                <c:pt idx="17">
                  <c:v>459</c:v>
                </c:pt>
                <c:pt idx="18">
                  <c:v>707</c:v>
                </c:pt>
                <c:pt idx="19">
                  <c:v>744</c:v>
                </c:pt>
                <c:pt idx="20">
                  <c:v>784</c:v>
                </c:pt>
                <c:pt idx="21">
                  <c:v>848</c:v>
                </c:pt>
                <c:pt idx="22">
                  <c:v>897</c:v>
                </c:pt>
                <c:pt idx="23">
                  <c:v>1085</c:v>
                </c:pt>
                <c:pt idx="24">
                  <c:v>1600</c:v>
                </c:pt>
                <c:pt idx="25">
                  <c:v>1613</c:v>
                </c:pt>
                <c:pt idx="26">
                  <c:v>1765</c:v>
                </c:pt>
                <c:pt idx="27">
                  <c:v>2248</c:v>
                </c:pt>
                <c:pt idx="28">
                  <c:v>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02-46BA-9C70-C13F1047C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64480"/>
        <c:axId val="180032000"/>
      </c:lineChart>
      <c:catAx>
        <c:axId val="16136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2000"/>
        <c:crosses val="autoZero"/>
        <c:auto val="1"/>
        <c:lblAlgn val="ctr"/>
        <c:lblOffset val="100"/>
        <c:noMultiLvlLbl val="0"/>
      </c:catAx>
      <c:valAx>
        <c:axId val="180032000"/>
        <c:scaling>
          <c:logBase val="10"/>
          <c:orientation val="minMax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 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13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7611960808564"/>
          <c:y val="5.1400554097404488E-2"/>
          <c:w val="0.79511591155817563"/>
          <c:h val="0.7724343832020997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'[1]2016_Liidud - 0,94 milj.€'!$J$50:$J$78</c:f>
              <c:numCache>
                <c:formatCode>General</c:formatCode>
                <c:ptCount val="29"/>
                <c:pt idx="0">
                  <c:v>600</c:v>
                </c:pt>
                <c:pt idx="1">
                  <c:v>1520</c:v>
                </c:pt>
                <c:pt idx="2">
                  <c:v>2390</c:v>
                </c:pt>
                <c:pt idx="3">
                  <c:v>2398</c:v>
                </c:pt>
                <c:pt idx="4">
                  <c:v>3223</c:v>
                </c:pt>
                <c:pt idx="5">
                  <c:v>3257</c:v>
                </c:pt>
                <c:pt idx="6">
                  <c:v>3385</c:v>
                </c:pt>
                <c:pt idx="7">
                  <c:v>3735</c:v>
                </c:pt>
                <c:pt idx="8">
                  <c:v>6012</c:v>
                </c:pt>
                <c:pt idx="9">
                  <c:v>7927</c:v>
                </c:pt>
                <c:pt idx="10">
                  <c:v>9372</c:v>
                </c:pt>
                <c:pt idx="11">
                  <c:v>12542</c:v>
                </c:pt>
                <c:pt idx="12">
                  <c:v>12867</c:v>
                </c:pt>
                <c:pt idx="13">
                  <c:v>17861</c:v>
                </c:pt>
                <c:pt idx="14">
                  <c:v>26237</c:v>
                </c:pt>
                <c:pt idx="15">
                  <c:v>27421</c:v>
                </c:pt>
                <c:pt idx="16">
                  <c:v>28648</c:v>
                </c:pt>
                <c:pt idx="17">
                  <c:v>33136</c:v>
                </c:pt>
                <c:pt idx="18">
                  <c:v>35139</c:v>
                </c:pt>
                <c:pt idx="19">
                  <c:v>39378</c:v>
                </c:pt>
                <c:pt idx="20">
                  <c:v>42718</c:v>
                </c:pt>
                <c:pt idx="21">
                  <c:v>45991</c:v>
                </c:pt>
                <c:pt idx="22">
                  <c:v>46459</c:v>
                </c:pt>
                <c:pt idx="23">
                  <c:v>47462</c:v>
                </c:pt>
                <c:pt idx="24">
                  <c:v>59841</c:v>
                </c:pt>
                <c:pt idx="25">
                  <c:v>93170</c:v>
                </c:pt>
                <c:pt idx="26">
                  <c:v>215071</c:v>
                </c:pt>
                <c:pt idx="27">
                  <c:v>322699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10-49B5-B10F-7EF58A5BE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48064"/>
        <c:axId val="180033728"/>
      </c:lineChart>
      <c:catAx>
        <c:axId val="18024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3728"/>
        <c:crosses val="autoZero"/>
        <c:auto val="1"/>
        <c:lblAlgn val="ctr"/>
        <c:lblOffset val="100"/>
        <c:noMultiLvlLbl val="0"/>
      </c:catAx>
      <c:valAx>
        <c:axId val="180033728"/>
        <c:scaling>
          <c:logBase val="10"/>
          <c:orientation val="minMax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</a:t>
                </a:r>
              </a:p>
            </c:rich>
          </c:tx>
          <c:layout>
            <c:manualLayout>
              <c:xMode val="edge"/>
              <c:yMode val="edge"/>
              <c:x val="1.3524618323233161E-3"/>
              <c:y val="0.355881452318460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t-EE"/>
          </a:p>
        </c:txPr>
        <c:crossAx val="18024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89421119554899"/>
          <c:y val="5.2043048217753886E-2"/>
          <c:w val="0.78974718380066034"/>
          <c:h val="0.7311287571041443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'[1]2015_Liidud - 1,0 milj.€'!$B$47:$B$75</c:f>
              <c:numCache>
                <c:formatCode>General</c:formatCode>
                <c:ptCount val="29"/>
                <c:pt idx="0">
                  <c:v>35</c:v>
                </c:pt>
                <c:pt idx="1">
                  <c:v>60</c:v>
                </c:pt>
                <c:pt idx="2">
                  <c:v>65</c:v>
                </c:pt>
                <c:pt idx="3">
                  <c:v>75</c:v>
                </c:pt>
                <c:pt idx="4">
                  <c:v>76</c:v>
                </c:pt>
                <c:pt idx="5">
                  <c:v>135</c:v>
                </c:pt>
                <c:pt idx="6">
                  <c:v>142</c:v>
                </c:pt>
                <c:pt idx="7">
                  <c:v>160</c:v>
                </c:pt>
                <c:pt idx="8">
                  <c:v>174</c:v>
                </c:pt>
                <c:pt idx="9">
                  <c:v>180</c:v>
                </c:pt>
                <c:pt idx="10">
                  <c:v>234</c:v>
                </c:pt>
                <c:pt idx="11">
                  <c:v>285</c:v>
                </c:pt>
                <c:pt idx="12">
                  <c:v>293</c:v>
                </c:pt>
                <c:pt idx="13">
                  <c:v>303</c:v>
                </c:pt>
                <c:pt idx="14">
                  <c:v>340</c:v>
                </c:pt>
                <c:pt idx="15">
                  <c:v>363</c:v>
                </c:pt>
                <c:pt idx="16">
                  <c:v>437</c:v>
                </c:pt>
                <c:pt idx="17">
                  <c:v>459</c:v>
                </c:pt>
                <c:pt idx="18">
                  <c:v>707</c:v>
                </c:pt>
                <c:pt idx="19">
                  <c:v>744</c:v>
                </c:pt>
                <c:pt idx="20">
                  <c:v>784</c:v>
                </c:pt>
                <c:pt idx="21">
                  <c:v>848</c:v>
                </c:pt>
                <c:pt idx="22">
                  <c:v>897</c:v>
                </c:pt>
                <c:pt idx="23">
                  <c:v>1085</c:v>
                </c:pt>
                <c:pt idx="24">
                  <c:v>1600</c:v>
                </c:pt>
                <c:pt idx="25">
                  <c:v>1613</c:v>
                </c:pt>
                <c:pt idx="26">
                  <c:v>1765</c:v>
                </c:pt>
                <c:pt idx="27">
                  <c:v>2248</c:v>
                </c:pt>
                <c:pt idx="28">
                  <c:v>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2-4D0B-A381-C8C7FA8B5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64480"/>
        <c:axId val="180032000"/>
      </c:lineChart>
      <c:catAx>
        <c:axId val="16136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2000"/>
        <c:crosses val="autoZero"/>
        <c:auto val="1"/>
        <c:lblAlgn val="ctr"/>
        <c:lblOffset val="100"/>
        <c:noMultiLvlLbl val="0"/>
      </c:catAx>
      <c:valAx>
        <c:axId val="180032000"/>
        <c:scaling>
          <c:logBase val="10"/>
          <c:orientation val="minMax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 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13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7611960808564"/>
          <c:y val="5.1400554097404488E-2"/>
          <c:w val="0.79511591155817563"/>
          <c:h val="0.7724343832020997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'[1]2016_Liidud - 0,94 milj.€'!$J$50:$J$78</c:f>
              <c:numCache>
                <c:formatCode>General</c:formatCode>
                <c:ptCount val="29"/>
                <c:pt idx="0">
                  <c:v>600</c:v>
                </c:pt>
                <c:pt idx="1">
                  <c:v>1520</c:v>
                </c:pt>
                <c:pt idx="2">
                  <c:v>2390</c:v>
                </c:pt>
                <c:pt idx="3">
                  <c:v>2398</c:v>
                </c:pt>
                <c:pt idx="4">
                  <c:v>3223</c:v>
                </c:pt>
                <c:pt idx="5">
                  <c:v>3257</c:v>
                </c:pt>
                <c:pt idx="6">
                  <c:v>3385</c:v>
                </c:pt>
                <c:pt idx="7">
                  <c:v>3735</c:v>
                </c:pt>
                <c:pt idx="8">
                  <c:v>6012</c:v>
                </c:pt>
                <c:pt idx="9">
                  <c:v>7927</c:v>
                </c:pt>
                <c:pt idx="10">
                  <c:v>9372</c:v>
                </c:pt>
                <c:pt idx="11">
                  <c:v>12542</c:v>
                </c:pt>
                <c:pt idx="12">
                  <c:v>12867</c:v>
                </c:pt>
                <c:pt idx="13">
                  <c:v>17861</c:v>
                </c:pt>
                <c:pt idx="14">
                  <c:v>26237</c:v>
                </c:pt>
                <c:pt idx="15">
                  <c:v>27421</c:v>
                </c:pt>
                <c:pt idx="16">
                  <c:v>28648</c:v>
                </c:pt>
                <c:pt idx="17">
                  <c:v>33136</c:v>
                </c:pt>
                <c:pt idx="18">
                  <c:v>35139</c:v>
                </c:pt>
                <c:pt idx="19">
                  <c:v>39378</c:v>
                </c:pt>
                <c:pt idx="20">
                  <c:v>42718</c:v>
                </c:pt>
                <c:pt idx="21">
                  <c:v>45991</c:v>
                </c:pt>
                <c:pt idx="22">
                  <c:v>46459</c:v>
                </c:pt>
                <c:pt idx="23">
                  <c:v>47462</c:v>
                </c:pt>
                <c:pt idx="24">
                  <c:v>59841</c:v>
                </c:pt>
                <c:pt idx="25">
                  <c:v>93170</c:v>
                </c:pt>
                <c:pt idx="26">
                  <c:v>215071</c:v>
                </c:pt>
                <c:pt idx="27">
                  <c:v>322699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C1-4ED4-A0DD-48451F26A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48064"/>
        <c:axId val="180033728"/>
      </c:lineChart>
      <c:catAx>
        <c:axId val="18024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3728"/>
        <c:crosses val="autoZero"/>
        <c:auto val="1"/>
        <c:lblAlgn val="ctr"/>
        <c:lblOffset val="100"/>
        <c:noMultiLvlLbl val="0"/>
      </c:catAx>
      <c:valAx>
        <c:axId val="180033728"/>
        <c:scaling>
          <c:logBase val="10"/>
          <c:orientation val="minMax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</a:t>
                </a:r>
              </a:p>
            </c:rich>
          </c:tx>
          <c:layout>
            <c:manualLayout>
              <c:xMode val="edge"/>
              <c:yMode val="edge"/>
              <c:x val="1.3524618323233161E-3"/>
              <c:y val="0.355881452318460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t-EE"/>
          </a:p>
        </c:txPr>
        <c:crossAx val="18024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89421119554899"/>
          <c:y val="5.2043048217753886E-2"/>
          <c:w val="0.78974718380066034"/>
          <c:h val="0.7311287571041443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'[1]2015_Liidud - 1,0 milj.€'!$B$47:$B$75</c:f>
              <c:numCache>
                <c:formatCode>General</c:formatCode>
                <c:ptCount val="29"/>
                <c:pt idx="0">
                  <c:v>35</c:v>
                </c:pt>
                <c:pt idx="1">
                  <c:v>60</c:v>
                </c:pt>
                <c:pt idx="2">
                  <c:v>65</c:v>
                </c:pt>
                <c:pt idx="3">
                  <c:v>75</c:v>
                </c:pt>
                <c:pt idx="4">
                  <c:v>76</c:v>
                </c:pt>
                <c:pt idx="5">
                  <c:v>135</c:v>
                </c:pt>
                <c:pt idx="6">
                  <c:v>142</c:v>
                </c:pt>
                <c:pt idx="7">
                  <c:v>160</c:v>
                </c:pt>
                <c:pt idx="8">
                  <c:v>174</c:v>
                </c:pt>
                <c:pt idx="9">
                  <c:v>180</c:v>
                </c:pt>
                <c:pt idx="10">
                  <c:v>234</c:v>
                </c:pt>
                <c:pt idx="11">
                  <c:v>285</c:v>
                </c:pt>
                <c:pt idx="12">
                  <c:v>293</c:v>
                </c:pt>
                <c:pt idx="13">
                  <c:v>303</c:v>
                </c:pt>
                <c:pt idx="14">
                  <c:v>340</c:v>
                </c:pt>
                <c:pt idx="15">
                  <c:v>363</c:v>
                </c:pt>
                <c:pt idx="16">
                  <c:v>437</c:v>
                </c:pt>
                <c:pt idx="17">
                  <c:v>459</c:v>
                </c:pt>
                <c:pt idx="18">
                  <c:v>707</c:v>
                </c:pt>
                <c:pt idx="19">
                  <c:v>744</c:v>
                </c:pt>
                <c:pt idx="20">
                  <c:v>784</c:v>
                </c:pt>
                <c:pt idx="21">
                  <c:v>848</c:v>
                </c:pt>
                <c:pt idx="22">
                  <c:v>897</c:v>
                </c:pt>
                <c:pt idx="23">
                  <c:v>1085</c:v>
                </c:pt>
                <c:pt idx="24">
                  <c:v>1600</c:v>
                </c:pt>
                <c:pt idx="25">
                  <c:v>1613</c:v>
                </c:pt>
                <c:pt idx="26">
                  <c:v>1765</c:v>
                </c:pt>
                <c:pt idx="27">
                  <c:v>2248</c:v>
                </c:pt>
                <c:pt idx="28">
                  <c:v>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F1-4185-8748-7061E6C2A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64480"/>
        <c:axId val="180032000"/>
      </c:lineChart>
      <c:catAx>
        <c:axId val="16136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2000"/>
        <c:crosses val="autoZero"/>
        <c:auto val="1"/>
        <c:lblAlgn val="ctr"/>
        <c:lblOffset val="100"/>
        <c:noMultiLvlLbl val="0"/>
      </c:catAx>
      <c:valAx>
        <c:axId val="180032000"/>
        <c:scaling>
          <c:logBase val="10"/>
          <c:orientation val="minMax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 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13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7611960808564"/>
          <c:y val="5.1400554097404488E-2"/>
          <c:w val="0.79511591155817563"/>
          <c:h val="0.7724343832020997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'[1]2016_Liidud - 0,94 milj.€'!$J$50:$J$78</c:f>
              <c:numCache>
                <c:formatCode>General</c:formatCode>
                <c:ptCount val="29"/>
                <c:pt idx="0">
                  <c:v>600</c:v>
                </c:pt>
                <c:pt idx="1">
                  <c:v>1520</c:v>
                </c:pt>
                <c:pt idx="2">
                  <c:v>2390</c:v>
                </c:pt>
                <c:pt idx="3">
                  <c:v>2398</c:v>
                </c:pt>
                <c:pt idx="4">
                  <c:v>3223</c:v>
                </c:pt>
                <c:pt idx="5">
                  <c:v>3257</c:v>
                </c:pt>
                <c:pt idx="6">
                  <c:v>3385</c:v>
                </c:pt>
                <c:pt idx="7">
                  <c:v>3735</c:v>
                </c:pt>
                <c:pt idx="8">
                  <c:v>6012</c:v>
                </c:pt>
                <c:pt idx="9">
                  <c:v>7927</c:v>
                </c:pt>
                <c:pt idx="10">
                  <c:v>9372</c:v>
                </c:pt>
                <c:pt idx="11">
                  <c:v>12542</c:v>
                </c:pt>
                <c:pt idx="12">
                  <c:v>12867</c:v>
                </c:pt>
                <c:pt idx="13">
                  <c:v>17861</c:v>
                </c:pt>
                <c:pt idx="14">
                  <c:v>26237</c:v>
                </c:pt>
                <c:pt idx="15">
                  <c:v>27421</c:v>
                </c:pt>
                <c:pt idx="16">
                  <c:v>28648</c:v>
                </c:pt>
                <c:pt idx="17">
                  <c:v>33136</c:v>
                </c:pt>
                <c:pt idx="18">
                  <c:v>35139</c:v>
                </c:pt>
                <c:pt idx="19">
                  <c:v>39378</c:v>
                </c:pt>
                <c:pt idx="20">
                  <c:v>42718</c:v>
                </c:pt>
                <c:pt idx="21">
                  <c:v>45991</c:v>
                </c:pt>
                <c:pt idx="22">
                  <c:v>46459</c:v>
                </c:pt>
                <c:pt idx="23">
                  <c:v>47462</c:v>
                </c:pt>
                <c:pt idx="24">
                  <c:v>59841</c:v>
                </c:pt>
                <c:pt idx="25">
                  <c:v>93170</c:v>
                </c:pt>
                <c:pt idx="26">
                  <c:v>215071</c:v>
                </c:pt>
                <c:pt idx="27">
                  <c:v>322699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7B-40D0-B439-109049EF25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48064"/>
        <c:axId val="180033728"/>
      </c:lineChart>
      <c:catAx>
        <c:axId val="18024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3728"/>
        <c:crosses val="autoZero"/>
        <c:auto val="1"/>
        <c:lblAlgn val="ctr"/>
        <c:lblOffset val="100"/>
        <c:noMultiLvlLbl val="0"/>
      </c:catAx>
      <c:valAx>
        <c:axId val="180033728"/>
        <c:scaling>
          <c:logBase val="10"/>
          <c:orientation val="minMax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</a:t>
                </a:r>
              </a:p>
            </c:rich>
          </c:tx>
          <c:layout>
            <c:manualLayout>
              <c:xMode val="edge"/>
              <c:yMode val="edge"/>
              <c:x val="1.3524618323233161E-3"/>
              <c:y val="0.355881452318460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t-EE"/>
          </a:p>
        </c:txPr>
        <c:crossAx val="18024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89421119554899"/>
          <c:y val="5.2043048217753886E-2"/>
          <c:w val="0.78974718380066034"/>
          <c:h val="0.7311287571041443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'[1]2015_Liidud - 1,0 milj.€'!$B$47:$B$75</c:f>
              <c:numCache>
                <c:formatCode>General</c:formatCode>
                <c:ptCount val="29"/>
                <c:pt idx="0">
                  <c:v>35</c:v>
                </c:pt>
                <c:pt idx="1">
                  <c:v>60</c:v>
                </c:pt>
                <c:pt idx="2">
                  <c:v>65</c:v>
                </c:pt>
                <c:pt idx="3">
                  <c:v>75</c:v>
                </c:pt>
                <c:pt idx="4">
                  <c:v>76</c:v>
                </c:pt>
                <c:pt idx="5">
                  <c:v>135</c:v>
                </c:pt>
                <c:pt idx="6">
                  <c:v>142</c:v>
                </c:pt>
                <c:pt idx="7">
                  <c:v>160</c:v>
                </c:pt>
                <c:pt idx="8">
                  <c:v>174</c:v>
                </c:pt>
                <c:pt idx="9">
                  <c:v>180</c:v>
                </c:pt>
                <c:pt idx="10">
                  <c:v>234</c:v>
                </c:pt>
                <c:pt idx="11">
                  <c:v>285</c:v>
                </c:pt>
                <c:pt idx="12">
                  <c:v>293</c:v>
                </c:pt>
                <c:pt idx="13">
                  <c:v>303</c:v>
                </c:pt>
                <c:pt idx="14">
                  <c:v>340</c:v>
                </c:pt>
                <c:pt idx="15">
                  <c:v>363</c:v>
                </c:pt>
                <c:pt idx="16">
                  <c:v>437</c:v>
                </c:pt>
                <c:pt idx="17">
                  <c:v>459</c:v>
                </c:pt>
                <c:pt idx="18">
                  <c:v>707</c:v>
                </c:pt>
                <c:pt idx="19">
                  <c:v>744</c:v>
                </c:pt>
                <c:pt idx="20">
                  <c:v>784</c:v>
                </c:pt>
                <c:pt idx="21">
                  <c:v>848</c:v>
                </c:pt>
                <c:pt idx="22">
                  <c:v>897</c:v>
                </c:pt>
                <c:pt idx="23">
                  <c:v>1085</c:v>
                </c:pt>
                <c:pt idx="24">
                  <c:v>1600</c:v>
                </c:pt>
                <c:pt idx="25">
                  <c:v>1613</c:v>
                </c:pt>
                <c:pt idx="26">
                  <c:v>1765</c:v>
                </c:pt>
                <c:pt idx="27">
                  <c:v>2248</c:v>
                </c:pt>
                <c:pt idx="28">
                  <c:v>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50-4411-BB98-7EB965F3E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64480"/>
        <c:axId val="180032000"/>
      </c:lineChart>
      <c:catAx>
        <c:axId val="16136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2000"/>
        <c:crosses val="autoZero"/>
        <c:auto val="1"/>
        <c:lblAlgn val="ctr"/>
        <c:lblOffset val="100"/>
        <c:noMultiLvlLbl val="0"/>
      </c:catAx>
      <c:valAx>
        <c:axId val="180032000"/>
        <c:scaling>
          <c:logBase val="10"/>
          <c:orientation val="minMax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 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13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7611960808564"/>
          <c:y val="5.1400554097404488E-2"/>
          <c:w val="0.79511591155817563"/>
          <c:h val="0.7724343832020997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'[1]2016_Liidud - 0,94 milj.€'!$J$50:$J$78</c:f>
              <c:numCache>
                <c:formatCode>General</c:formatCode>
                <c:ptCount val="29"/>
                <c:pt idx="0">
                  <c:v>600</c:v>
                </c:pt>
                <c:pt idx="1">
                  <c:v>1520</c:v>
                </c:pt>
                <c:pt idx="2">
                  <c:v>2390</c:v>
                </c:pt>
                <c:pt idx="3">
                  <c:v>2398</c:v>
                </c:pt>
                <c:pt idx="4">
                  <c:v>3223</c:v>
                </c:pt>
                <c:pt idx="5">
                  <c:v>3257</c:v>
                </c:pt>
                <c:pt idx="6">
                  <c:v>3385</c:v>
                </c:pt>
                <c:pt idx="7">
                  <c:v>3735</c:v>
                </c:pt>
                <c:pt idx="8">
                  <c:v>6012</c:v>
                </c:pt>
                <c:pt idx="9">
                  <c:v>7927</c:v>
                </c:pt>
                <c:pt idx="10">
                  <c:v>9372</c:v>
                </c:pt>
                <c:pt idx="11">
                  <c:v>12542</c:v>
                </c:pt>
                <c:pt idx="12">
                  <c:v>12867</c:v>
                </c:pt>
                <c:pt idx="13">
                  <c:v>17861</c:v>
                </c:pt>
                <c:pt idx="14">
                  <c:v>26237</c:v>
                </c:pt>
                <c:pt idx="15">
                  <c:v>27421</c:v>
                </c:pt>
                <c:pt idx="16">
                  <c:v>28648</c:v>
                </c:pt>
                <c:pt idx="17">
                  <c:v>33136</c:v>
                </c:pt>
                <c:pt idx="18">
                  <c:v>35139</c:v>
                </c:pt>
                <c:pt idx="19">
                  <c:v>39378</c:v>
                </c:pt>
                <c:pt idx="20">
                  <c:v>42718</c:v>
                </c:pt>
                <c:pt idx="21">
                  <c:v>45991</c:v>
                </c:pt>
                <c:pt idx="22">
                  <c:v>46459</c:v>
                </c:pt>
                <c:pt idx="23">
                  <c:v>47462</c:v>
                </c:pt>
                <c:pt idx="24">
                  <c:v>59841</c:v>
                </c:pt>
                <c:pt idx="25">
                  <c:v>93170</c:v>
                </c:pt>
                <c:pt idx="26">
                  <c:v>215071</c:v>
                </c:pt>
                <c:pt idx="27">
                  <c:v>322699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61-4721-BE39-0C295F1B4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48064"/>
        <c:axId val="180033728"/>
      </c:lineChart>
      <c:catAx>
        <c:axId val="180248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3728"/>
        <c:crosses val="autoZero"/>
        <c:auto val="1"/>
        <c:lblAlgn val="ctr"/>
        <c:lblOffset val="100"/>
        <c:noMultiLvlLbl val="0"/>
      </c:catAx>
      <c:valAx>
        <c:axId val="180033728"/>
        <c:scaling>
          <c:logBase val="10"/>
          <c:orientation val="minMax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</a:t>
                </a:r>
              </a:p>
            </c:rich>
          </c:tx>
          <c:layout>
            <c:manualLayout>
              <c:xMode val="edge"/>
              <c:yMode val="edge"/>
              <c:x val="1.3524618323233161E-3"/>
              <c:y val="0.355881452318460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t-EE"/>
          </a:p>
        </c:txPr>
        <c:crossAx val="18024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AB-4180-9CEB-F2A082DD3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59872"/>
        <c:axId val="180560448"/>
      </c:scatterChart>
      <c:valAx>
        <c:axId val="180559872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0448"/>
        <c:crosses val="autoZero"/>
        <c:crossBetween val="midCat"/>
        <c:majorUnit val="1"/>
      </c:valAx>
      <c:valAx>
        <c:axId val="180560448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59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1AF-4DBF-84C2-66DF45D14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62176"/>
        <c:axId val="180562752"/>
      </c:scatterChart>
      <c:valAx>
        <c:axId val="180562176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2752"/>
        <c:crosses val="autoZero"/>
        <c:crossBetween val="midCat"/>
        <c:majorUnit val="1"/>
      </c:valAx>
      <c:valAx>
        <c:axId val="180562752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621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65-4DB5-9FBA-4ED14DC21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62176"/>
        <c:axId val="180562752"/>
      </c:scatterChart>
      <c:valAx>
        <c:axId val="180562176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2752"/>
        <c:crosses val="autoZero"/>
        <c:crossBetween val="midCat"/>
        <c:majorUnit val="1"/>
      </c:valAx>
      <c:valAx>
        <c:axId val="180562752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621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AB-4180-9CEB-F2A082DD3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64480"/>
        <c:axId val="180565056"/>
      </c:scatterChart>
      <c:valAx>
        <c:axId val="180564480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5056"/>
        <c:crosses val="autoZero"/>
        <c:crossBetween val="midCat"/>
        <c:majorUnit val="1"/>
      </c:valAx>
      <c:valAx>
        <c:axId val="180565056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644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65-4DB5-9FBA-4ED14DC21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66784"/>
        <c:axId val="180567360"/>
      </c:scatterChart>
      <c:valAx>
        <c:axId val="180566784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7360"/>
        <c:crosses val="autoZero"/>
        <c:crossBetween val="midCat"/>
        <c:majorUnit val="1"/>
      </c:valAx>
      <c:valAx>
        <c:axId val="180567360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66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89421119554899"/>
          <c:y val="5.2043048217753886E-2"/>
          <c:w val="0.78974718380066034"/>
          <c:h val="0.7311287571041443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'[1]2015_Liidud - 1,0 milj.€'!$B$47:$B$75</c:f>
              <c:numCache>
                <c:formatCode>General</c:formatCode>
                <c:ptCount val="29"/>
                <c:pt idx="0">
                  <c:v>35</c:v>
                </c:pt>
                <c:pt idx="1">
                  <c:v>60</c:v>
                </c:pt>
                <c:pt idx="2">
                  <c:v>65</c:v>
                </c:pt>
                <c:pt idx="3">
                  <c:v>75</c:v>
                </c:pt>
                <c:pt idx="4">
                  <c:v>76</c:v>
                </c:pt>
                <c:pt idx="5">
                  <c:v>135</c:v>
                </c:pt>
                <c:pt idx="6">
                  <c:v>142</c:v>
                </c:pt>
                <c:pt idx="7">
                  <c:v>160</c:v>
                </c:pt>
                <c:pt idx="8">
                  <c:v>174</c:v>
                </c:pt>
                <c:pt idx="9">
                  <c:v>180</c:v>
                </c:pt>
                <c:pt idx="10">
                  <c:v>234</c:v>
                </c:pt>
                <c:pt idx="11">
                  <c:v>285</c:v>
                </c:pt>
                <c:pt idx="12">
                  <c:v>293</c:v>
                </c:pt>
                <c:pt idx="13">
                  <c:v>303</c:v>
                </c:pt>
                <c:pt idx="14">
                  <c:v>340</c:v>
                </c:pt>
                <c:pt idx="15">
                  <c:v>363</c:v>
                </c:pt>
                <c:pt idx="16">
                  <c:v>437</c:v>
                </c:pt>
                <c:pt idx="17">
                  <c:v>459</c:v>
                </c:pt>
                <c:pt idx="18">
                  <c:v>707</c:v>
                </c:pt>
                <c:pt idx="19">
                  <c:v>744</c:v>
                </c:pt>
                <c:pt idx="20">
                  <c:v>784</c:v>
                </c:pt>
                <c:pt idx="21">
                  <c:v>848</c:v>
                </c:pt>
                <c:pt idx="22">
                  <c:v>897</c:v>
                </c:pt>
                <c:pt idx="23">
                  <c:v>1085</c:v>
                </c:pt>
                <c:pt idx="24">
                  <c:v>1600</c:v>
                </c:pt>
                <c:pt idx="25">
                  <c:v>1613</c:v>
                </c:pt>
                <c:pt idx="26">
                  <c:v>1765</c:v>
                </c:pt>
                <c:pt idx="27">
                  <c:v>2248</c:v>
                </c:pt>
                <c:pt idx="28">
                  <c:v>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50-4411-BB98-7EB965F3E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280832"/>
        <c:axId val="182101120"/>
      </c:lineChart>
      <c:catAx>
        <c:axId val="18028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2101120"/>
        <c:crosses val="autoZero"/>
        <c:auto val="1"/>
        <c:lblAlgn val="ctr"/>
        <c:lblOffset val="100"/>
        <c:noMultiLvlLbl val="0"/>
      </c:catAx>
      <c:valAx>
        <c:axId val="182101120"/>
        <c:scaling>
          <c:logBase val="10"/>
          <c:orientation val="minMax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 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28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7611960808564"/>
          <c:y val="5.1400554097404488E-2"/>
          <c:w val="0.79511591155817563"/>
          <c:h val="0.7724343832020997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'[1]2016_Liidud - 0,94 milj.€'!$J$50:$J$78</c:f>
              <c:numCache>
                <c:formatCode>General</c:formatCode>
                <c:ptCount val="29"/>
                <c:pt idx="0">
                  <c:v>600</c:v>
                </c:pt>
                <c:pt idx="1">
                  <c:v>1520</c:v>
                </c:pt>
                <c:pt idx="2">
                  <c:v>2390</c:v>
                </c:pt>
                <c:pt idx="3">
                  <c:v>2398</c:v>
                </c:pt>
                <c:pt idx="4">
                  <c:v>3223</c:v>
                </c:pt>
                <c:pt idx="5">
                  <c:v>3257</c:v>
                </c:pt>
                <c:pt idx="6">
                  <c:v>3385</c:v>
                </c:pt>
                <c:pt idx="7">
                  <c:v>3735</c:v>
                </c:pt>
                <c:pt idx="8">
                  <c:v>6012</c:v>
                </c:pt>
                <c:pt idx="9">
                  <c:v>7927</c:v>
                </c:pt>
                <c:pt idx="10">
                  <c:v>9372</c:v>
                </c:pt>
                <c:pt idx="11">
                  <c:v>12542</c:v>
                </c:pt>
                <c:pt idx="12">
                  <c:v>12867</c:v>
                </c:pt>
                <c:pt idx="13">
                  <c:v>17861</c:v>
                </c:pt>
                <c:pt idx="14">
                  <c:v>26237</c:v>
                </c:pt>
                <c:pt idx="15">
                  <c:v>27421</c:v>
                </c:pt>
                <c:pt idx="16">
                  <c:v>28648</c:v>
                </c:pt>
                <c:pt idx="17">
                  <c:v>33136</c:v>
                </c:pt>
                <c:pt idx="18">
                  <c:v>35139</c:v>
                </c:pt>
                <c:pt idx="19">
                  <c:v>39378</c:v>
                </c:pt>
                <c:pt idx="20">
                  <c:v>42718</c:v>
                </c:pt>
                <c:pt idx="21">
                  <c:v>45991</c:v>
                </c:pt>
                <c:pt idx="22">
                  <c:v>46459</c:v>
                </c:pt>
                <c:pt idx="23">
                  <c:v>47462</c:v>
                </c:pt>
                <c:pt idx="24">
                  <c:v>59841</c:v>
                </c:pt>
                <c:pt idx="25">
                  <c:v>93170</c:v>
                </c:pt>
                <c:pt idx="26">
                  <c:v>215071</c:v>
                </c:pt>
                <c:pt idx="27">
                  <c:v>322699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61-4721-BE39-0C295F1B4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47136"/>
        <c:axId val="182102848"/>
      </c:lineChart>
      <c:catAx>
        <c:axId val="182747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2102848"/>
        <c:crosses val="autoZero"/>
        <c:auto val="1"/>
        <c:lblAlgn val="ctr"/>
        <c:lblOffset val="100"/>
        <c:noMultiLvlLbl val="0"/>
      </c:catAx>
      <c:valAx>
        <c:axId val="182102848"/>
        <c:scaling>
          <c:logBase val="10"/>
          <c:orientation val="minMax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</a:t>
                </a:r>
              </a:p>
            </c:rich>
          </c:tx>
          <c:layout>
            <c:manualLayout>
              <c:xMode val="edge"/>
              <c:yMode val="edge"/>
              <c:x val="1.3524618323233161E-3"/>
              <c:y val="0.355881452318460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t-EE"/>
          </a:p>
        </c:txPr>
        <c:crossAx val="1827471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0949078855723"/>
          <c:y val="5.2043048217753886E-2"/>
          <c:w val="0.80154649791125543"/>
          <c:h val="0.7311287571041443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'[1]2015_Liidud - 1,0 milj.€'!$B$47:$B$75</c:f>
              <c:numCache>
                <c:formatCode>General</c:formatCode>
                <c:ptCount val="29"/>
                <c:pt idx="0">
                  <c:v>35</c:v>
                </c:pt>
                <c:pt idx="1">
                  <c:v>60</c:v>
                </c:pt>
                <c:pt idx="2">
                  <c:v>65</c:v>
                </c:pt>
                <c:pt idx="3">
                  <c:v>75</c:v>
                </c:pt>
                <c:pt idx="4">
                  <c:v>76</c:v>
                </c:pt>
                <c:pt idx="5">
                  <c:v>135</c:v>
                </c:pt>
                <c:pt idx="6">
                  <c:v>142</c:v>
                </c:pt>
                <c:pt idx="7">
                  <c:v>160</c:v>
                </c:pt>
                <c:pt idx="8">
                  <c:v>174</c:v>
                </c:pt>
                <c:pt idx="9">
                  <c:v>180</c:v>
                </c:pt>
                <c:pt idx="10">
                  <c:v>234</c:v>
                </c:pt>
                <c:pt idx="11">
                  <c:v>285</c:v>
                </c:pt>
                <c:pt idx="12">
                  <c:v>293</c:v>
                </c:pt>
                <c:pt idx="13">
                  <c:v>303</c:v>
                </c:pt>
                <c:pt idx="14">
                  <c:v>340</c:v>
                </c:pt>
                <c:pt idx="15">
                  <c:v>363</c:v>
                </c:pt>
                <c:pt idx="16">
                  <c:v>437</c:v>
                </c:pt>
                <c:pt idx="17">
                  <c:v>459</c:v>
                </c:pt>
                <c:pt idx="18">
                  <c:v>707</c:v>
                </c:pt>
                <c:pt idx="19">
                  <c:v>744</c:v>
                </c:pt>
                <c:pt idx="20">
                  <c:v>784</c:v>
                </c:pt>
                <c:pt idx="21">
                  <c:v>848</c:v>
                </c:pt>
                <c:pt idx="22">
                  <c:v>897</c:v>
                </c:pt>
                <c:pt idx="23">
                  <c:v>1085</c:v>
                </c:pt>
                <c:pt idx="24">
                  <c:v>1600</c:v>
                </c:pt>
                <c:pt idx="25">
                  <c:v>1613</c:v>
                </c:pt>
                <c:pt idx="26">
                  <c:v>1765</c:v>
                </c:pt>
                <c:pt idx="27">
                  <c:v>2248</c:v>
                </c:pt>
                <c:pt idx="28">
                  <c:v>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50-4411-BB98-7EB965F3E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47648"/>
        <c:axId val="182104576"/>
      </c:lineChart>
      <c:catAx>
        <c:axId val="182747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2104576"/>
        <c:crosses val="autoZero"/>
        <c:auto val="1"/>
        <c:lblAlgn val="ctr"/>
        <c:lblOffset val="100"/>
        <c:noMultiLvlLbl val="0"/>
      </c:catAx>
      <c:valAx>
        <c:axId val="182104576"/>
        <c:scaling>
          <c:logBase val="10"/>
          <c:orientation val="minMax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Inimeste arv (logaritm 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t-EE"/>
          </a:p>
        </c:txPr>
        <c:crossAx val="182747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32837197845462"/>
          <c:y val="5.1400554097404488E-2"/>
          <c:w val="0.81854882791508232"/>
          <c:h val="0.7724343832020997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'[1]2016_Liidud - 0,94 milj.€'!$J$50:$J$78</c:f>
              <c:numCache>
                <c:formatCode>General</c:formatCode>
                <c:ptCount val="29"/>
                <c:pt idx="0">
                  <c:v>600</c:v>
                </c:pt>
                <c:pt idx="1">
                  <c:v>1520</c:v>
                </c:pt>
                <c:pt idx="2">
                  <c:v>2390</c:v>
                </c:pt>
                <c:pt idx="3">
                  <c:v>2398</c:v>
                </c:pt>
                <c:pt idx="4">
                  <c:v>3223</c:v>
                </c:pt>
                <c:pt idx="5">
                  <c:v>3257</c:v>
                </c:pt>
                <c:pt idx="6">
                  <c:v>3385</c:v>
                </c:pt>
                <c:pt idx="7">
                  <c:v>3735</c:v>
                </c:pt>
                <c:pt idx="8">
                  <c:v>6012</c:v>
                </c:pt>
                <c:pt idx="9">
                  <c:v>7927</c:v>
                </c:pt>
                <c:pt idx="10">
                  <c:v>9372</c:v>
                </c:pt>
                <c:pt idx="11">
                  <c:v>12542</c:v>
                </c:pt>
                <c:pt idx="12">
                  <c:v>12867</c:v>
                </c:pt>
                <c:pt idx="13">
                  <c:v>17861</c:v>
                </c:pt>
                <c:pt idx="14">
                  <c:v>26237</c:v>
                </c:pt>
                <c:pt idx="15">
                  <c:v>27421</c:v>
                </c:pt>
                <c:pt idx="16">
                  <c:v>28648</c:v>
                </c:pt>
                <c:pt idx="17">
                  <c:v>33136</c:v>
                </c:pt>
                <c:pt idx="18">
                  <c:v>35139</c:v>
                </c:pt>
                <c:pt idx="19">
                  <c:v>39378</c:v>
                </c:pt>
                <c:pt idx="20">
                  <c:v>42718</c:v>
                </c:pt>
                <c:pt idx="21">
                  <c:v>45991</c:v>
                </c:pt>
                <c:pt idx="22">
                  <c:v>46459</c:v>
                </c:pt>
                <c:pt idx="23">
                  <c:v>47462</c:v>
                </c:pt>
                <c:pt idx="24">
                  <c:v>59841</c:v>
                </c:pt>
                <c:pt idx="25">
                  <c:v>93170</c:v>
                </c:pt>
                <c:pt idx="26">
                  <c:v>215071</c:v>
                </c:pt>
                <c:pt idx="27">
                  <c:v>322699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61-4721-BE39-0C295F1B46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748160"/>
        <c:axId val="182106304"/>
      </c:lineChart>
      <c:catAx>
        <c:axId val="182748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2106304"/>
        <c:crosses val="autoZero"/>
        <c:auto val="1"/>
        <c:lblAlgn val="ctr"/>
        <c:lblOffset val="100"/>
        <c:noMultiLvlLbl val="0"/>
      </c:catAx>
      <c:valAx>
        <c:axId val="182106304"/>
        <c:scaling>
          <c:logBase val="10"/>
          <c:orientation val="minMax"/>
          <c:min val="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Lisaraha, €</a:t>
                </a:r>
              </a:p>
            </c:rich>
          </c:tx>
          <c:layout>
            <c:manualLayout>
              <c:xMode val="edge"/>
              <c:yMode val="edge"/>
              <c:x val="1.3524618323233161E-3"/>
              <c:y val="0.3558814523184601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t-EE"/>
          </a:p>
        </c:txPr>
        <c:crossAx val="182748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AB-4180-9CEB-F2A082DD3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270272"/>
        <c:axId val="185270848"/>
      </c:scatterChart>
      <c:valAx>
        <c:axId val="185270272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5270848"/>
        <c:crosses val="autoZero"/>
        <c:crossBetween val="midCat"/>
        <c:majorUnit val="1"/>
      </c:valAx>
      <c:valAx>
        <c:axId val="185270848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5270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65-4DB5-9FBA-4ED14DC21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272576"/>
        <c:axId val="185273152"/>
      </c:scatterChart>
      <c:valAx>
        <c:axId val="185272576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5273152"/>
        <c:crosses val="autoZero"/>
        <c:crossBetween val="midCat"/>
        <c:majorUnit val="1"/>
      </c:valAx>
      <c:valAx>
        <c:axId val="185273152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5272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AB-4180-9CEB-F2A082DD3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274880"/>
        <c:axId val="185275456"/>
      </c:scatterChart>
      <c:valAx>
        <c:axId val="185274880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5275456"/>
        <c:crosses val="autoZero"/>
        <c:crossBetween val="midCat"/>
        <c:majorUnit val="1"/>
      </c:valAx>
      <c:valAx>
        <c:axId val="185275456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5274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99-45C3-A3F6-70DAC3BB04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64480"/>
        <c:axId val="180565056"/>
      </c:scatterChart>
      <c:valAx>
        <c:axId val="180564480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5056"/>
        <c:crosses val="autoZero"/>
        <c:crossBetween val="midCat"/>
        <c:majorUnit val="1"/>
      </c:valAx>
      <c:valAx>
        <c:axId val="180565056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644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65-4DB5-9FBA-4ED14DC21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277184"/>
        <c:axId val="185277760"/>
      </c:scatterChart>
      <c:valAx>
        <c:axId val="185277184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5277760"/>
        <c:crosses val="autoZero"/>
        <c:crossBetween val="midCat"/>
        <c:majorUnit val="1"/>
      </c:valAx>
      <c:valAx>
        <c:axId val="185277760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52771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AB-4180-9CEB-F2A082DD3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18336"/>
        <c:axId val="183518912"/>
      </c:scatterChart>
      <c:valAx>
        <c:axId val="183518336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3518912"/>
        <c:crosses val="autoZero"/>
        <c:crossBetween val="midCat"/>
        <c:majorUnit val="1"/>
      </c:valAx>
      <c:valAx>
        <c:axId val="183518912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5183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65-4DB5-9FBA-4ED14DC21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0640"/>
        <c:axId val="183521216"/>
      </c:scatterChart>
      <c:valAx>
        <c:axId val="183520640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3521216"/>
        <c:crosses val="autoZero"/>
        <c:crossBetween val="midCat"/>
        <c:majorUnit val="1"/>
      </c:valAx>
      <c:valAx>
        <c:axId val="183521216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52064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AB-4180-9CEB-F2A082DD3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2944"/>
        <c:axId val="183523520"/>
      </c:scatterChart>
      <c:valAx>
        <c:axId val="183522944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3523520"/>
        <c:crosses val="autoZero"/>
        <c:crossBetween val="midCat"/>
        <c:majorUnit val="1"/>
      </c:valAx>
      <c:valAx>
        <c:axId val="183523520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35229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65-4DB5-9FBA-4ED14DC21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5491456"/>
        <c:axId val="185492032"/>
      </c:scatterChart>
      <c:valAx>
        <c:axId val="185491456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5492032"/>
        <c:crosses val="autoZero"/>
        <c:crossBetween val="midCat"/>
        <c:majorUnit val="1"/>
      </c:valAx>
      <c:valAx>
        <c:axId val="185492032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5491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96-418E-9C2F-4A05BBE4B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66784"/>
        <c:axId val="180567360"/>
      </c:scatterChart>
      <c:valAx>
        <c:axId val="180566784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7360"/>
        <c:crosses val="autoZero"/>
        <c:crossBetween val="midCat"/>
        <c:majorUnit val="1"/>
      </c:valAx>
      <c:valAx>
        <c:axId val="180567360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66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F8-4566-B5B7-574E17F68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59872"/>
        <c:axId val="180560448"/>
      </c:scatterChart>
      <c:valAx>
        <c:axId val="180559872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0448"/>
        <c:crosses val="autoZero"/>
        <c:crossBetween val="midCat"/>
        <c:majorUnit val="1"/>
      </c:valAx>
      <c:valAx>
        <c:axId val="180560448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598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F6-424F-A2EC-E65077ECD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62176"/>
        <c:axId val="180562752"/>
      </c:scatterChart>
      <c:valAx>
        <c:axId val="180562176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2752"/>
        <c:crosses val="autoZero"/>
        <c:crossBetween val="midCat"/>
        <c:majorUnit val="1"/>
      </c:valAx>
      <c:valAx>
        <c:axId val="180562752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621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3516599898696"/>
          <c:y val="6.9919072615923006E-2"/>
          <c:w val="0.82615255329925863"/>
          <c:h val="0.72233312126801219"/>
        </c:manualLayout>
      </c:layout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trendline>
            <c:trendlineType val="exp"/>
            <c:dispRSqr val="0"/>
            <c:dispEq val="0"/>
          </c:trendline>
          <c:yVal>
            <c:numRef>
              <c:f>'[1]2015_Maakonnad_1,0 milj.€'!$C$35:$C$50</c:f>
              <c:numCache>
                <c:formatCode>General</c:formatCode>
                <c:ptCount val="16"/>
                <c:pt idx="0">
                  <c:v>147</c:v>
                </c:pt>
                <c:pt idx="1">
                  <c:v>471</c:v>
                </c:pt>
                <c:pt idx="2">
                  <c:v>523</c:v>
                </c:pt>
                <c:pt idx="3">
                  <c:v>576</c:v>
                </c:pt>
                <c:pt idx="4">
                  <c:v>603</c:v>
                </c:pt>
                <c:pt idx="5">
                  <c:v>605</c:v>
                </c:pt>
                <c:pt idx="6">
                  <c:v>716</c:v>
                </c:pt>
                <c:pt idx="7">
                  <c:v>887</c:v>
                </c:pt>
                <c:pt idx="8">
                  <c:v>914</c:v>
                </c:pt>
                <c:pt idx="9">
                  <c:v>1075</c:v>
                </c:pt>
                <c:pt idx="10">
                  <c:v>1257</c:v>
                </c:pt>
                <c:pt idx="11">
                  <c:v>1398</c:v>
                </c:pt>
                <c:pt idx="12">
                  <c:v>1906</c:v>
                </c:pt>
                <c:pt idx="13">
                  <c:v>2759</c:v>
                </c:pt>
                <c:pt idx="14">
                  <c:v>3158</c:v>
                </c:pt>
                <c:pt idx="15">
                  <c:v>4451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3B-4397-B000-6E6B8CFAE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64480"/>
        <c:axId val="180565056"/>
      </c:scatterChart>
      <c:valAx>
        <c:axId val="180564480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5056"/>
        <c:crosses val="autoZero"/>
        <c:crossBetween val="midCat"/>
        <c:majorUnit val="1"/>
      </c:valAx>
      <c:valAx>
        <c:axId val="180565056"/>
        <c:scaling>
          <c:logBase val="10"/>
          <c:orientation val="minMax"/>
          <c:max val="5000"/>
          <c:min val="1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644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rendline>
            <c:trendlineType val="exp"/>
            <c:dispRSqr val="0"/>
            <c:dispEq val="0"/>
          </c:trendline>
          <c:yVal>
            <c:numRef>
              <c:f>'[1]2015_Maakonnad_1,0 milj.€'!$K$35:$K$50</c:f>
              <c:numCache>
                <c:formatCode>General</c:formatCode>
                <c:ptCount val="16"/>
                <c:pt idx="0">
                  <c:v>16321</c:v>
                </c:pt>
                <c:pt idx="1">
                  <c:v>20125</c:v>
                </c:pt>
                <c:pt idx="2">
                  <c:v>21245</c:v>
                </c:pt>
                <c:pt idx="3">
                  <c:v>26655</c:v>
                </c:pt>
                <c:pt idx="4">
                  <c:v>37658</c:v>
                </c:pt>
                <c:pt idx="5">
                  <c:v>40885</c:v>
                </c:pt>
                <c:pt idx="6">
                  <c:v>43207</c:v>
                </c:pt>
                <c:pt idx="7">
                  <c:v>47537</c:v>
                </c:pt>
                <c:pt idx="8">
                  <c:v>56702</c:v>
                </c:pt>
                <c:pt idx="9">
                  <c:v>59329</c:v>
                </c:pt>
                <c:pt idx="10">
                  <c:v>69430</c:v>
                </c:pt>
                <c:pt idx="11">
                  <c:v>110249</c:v>
                </c:pt>
                <c:pt idx="12">
                  <c:v>181790</c:v>
                </c:pt>
                <c:pt idx="13">
                  <c:v>320099</c:v>
                </c:pt>
                <c:pt idx="14">
                  <c:v>322057</c:v>
                </c:pt>
                <c:pt idx="15">
                  <c:v>367770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93A-4CE5-A7EC-FB5993687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0566784"/>
        <c:axId val="180567360"/>
      </c:scatterChart>
      <c:valAx>
        <c:axId val="180566784"/>
        <c:scaling>
          <c:orientation val="minMax"/>
          <c:max val="16"/>
          <c:min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567360"/>
        <c:crosses val="autoZero"/>
        <c:crossBetween val="midCat"/>
        <c:majorUnit val="1"/>
      </c:valAx>
      <c:valAx>
        <c:axId val="180567360"/>
        <c:scaling>
          <c:logBase val="10"/>
          <c:orientation val="minMax"/>
          <c:max val="1000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Lisaraha, € (logaritmskaala)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80566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89421119554899"/>
          <c:y val="5.2043048217753886E-2"/>
          <c:w val="0.78974718380066034"/>
          <c:h val="0.73112875710414438"/>
        </c:manualLayout>
      </c:layout>
      <c:lineChart>
        <c:grouping val="standard"/>
        <c:varyColors val="0"/>
        <c:ser>
          <c:idx val="0"/>
          <c:order val="0"/>
          <c:trendline>
            <c:trendlineType val="exp"/>
            <c:dispRSqr val="0"/>
            <c:dispEq val="0"/>
          </c:trendline>
          <c:val>
            <c:numRef>
              <c:f>'[1]2015_Liidud - 1,0 milj.€'!$B$47:$B$75</c:f>
              <c:numCache>
                <c:formatCode>General</c:formatCode>
                <c:ptCount val="29"/>
                <c:pt idx="0">
                  <c:v>35</c:v>
                </c:pt>
                <c:pt idx="1">
                  <c:v>60</c:v>
                </c:pt>
                <c:pt idx="2">
                  <c:v>65</c:v>
                </c:pt>
                <c:pt idx="3">
                  <c:v>75</c:v>
                </c:pt>
                <c:pt idx="4">
                  <c:v>76</c:v>
                </c:pt>
                <c:pt idx="5">
                  <c:v>135</c:v>
                </c:pt>
                <c:pt idx="6">
                  <c:v>142</c:v>
                </c:pt>
                <c:pt idx="7">
                  <c:v>160</c:v>
                </c:pt>
                <c:pt idx="8">
                  <c:v>174</c:v>
                </c:pt>
                <c:pt idx="9">
                  <c:v>180</c:v>
                </c:pt>
                <c:pt idx="10">
                  <c:v>234</c:v>
                </c:pt>
                <c:pt idx="11">
                  <c:v>285</c:v>
                </c:pt>
                <c:pt idx="12">
                  <c:v>293</c:v>
                </c:pt>
                <c:pt idx="13">
                  <c:v>303</c:v>
                </c:pt>
                <c:pt idx="14">
                  <c:v>340</c:v>
                </c:pt>
                <c:pt idx="15">
                  <c:v>363</c:v>
                </c:pt>
                <c:pt idx="16">
                  <c:v>437</c:v>
                </c:pt>
                <c:pt idx="17">
                  <c:v>459</c:v>
                </c:pt>
                <c:pt idx="18">
                  <c:v>707</c:v>
                </c:pt>
                <c:pt idx="19">
                  <c:v>744</c:v>
                </c:pt>
                <c:pt idx="20">
                  <c:v>784</c:v>
                </c:pt>
                <c:pt idx="21">
                  <c:v>848</c:v>
                </c:pt>
                <c:pt idx="22">
                  <c:v>897</c:v>
                </c:pt>
                <c:pt idx="23">
                  <c:v>1085</c:v>
                </c:pt>
                <c:pt idx="24">
                  <c:v>1600</c:v>
                </c:pt>
                <c:pt idx="25">
                  <c:v>1613</c:v>
                </c:pt>
                <c:pt idx="26">
                  <c:v>1765</c:v>
                </c:pt>
                <c:pt idx="27">
                  <c:v>2248</c:v>
                </c:pt>
                <c:pt idx="28">
                  <c:v>5896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3-4BD4-A369-98CA72463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364480"/>
        <c:axId val="180032000"/>
      </c:lineChart>
      <c:catAx>
        <c:axId val="16136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Organisatsioon</a:t>
                </a:r>
              </a:p>
            </c:rich>
          </c:tx>
          <c:overlay val="0"/>
        </c:title>
        <c:majorTickMark val="out"/>
        <c:minorTickMark val="none"/>
        <c:tickLblPos val="nextTo"/>
        <c:crossAx val="180032000"/>
        <c:crosses val="autoZero"/>
        <c:auto val="1"/>
        <c:lblAlgn val="ctr"/>
        <c:lblOffset val="100"/>
        <c:noMultiLvlLbl val="0"/>
      </c:catAx>
      <c:valAx>
        <c:axId val="180032000"/>
        <c:scaling>
          <c:logBase val="10"/>
          <c:orientation val="minMax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Inimeste arv (logaritm skaala)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613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4" Type="http://schemas.openxmlformats.org/officeDocument/2006/relationships/chart" Target="../charts/chart2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4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4.xml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4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238125</xdr:colOff>
      <xdr:row>52</xdr:row>
      <xdr:rowOff>75142</xdr:rowOff>
    </xdr:from>
    <xdr:to>
      <xdr:col>18</xdr:col>
      <xdr:colOff>57150</xdr:colOff>
      <xdr:row>68</xdr:row>
      <xdr:rowOff>109008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238125</xdr:colOff>
      <xdr:row>52</xdr:row>
      <xdr:rowOff>75142</xdr:rowOff>
    </xdr:from>
    <xdr:to>
      <xdr:col>18</xdr:col>
      <xdr:colOff>57150</xdr:colOff>
      <xdr:row>68</xdr:row>
      <xdr:rowOff>109008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238125</xdr:colOff>
      <xdr:row>52</xdr:row>
      <xdr:rowOff>75142</xdr:rowOff>
    </xdr:from>
    <xdr:to>
      <xdr:col>18</xdr:col>
      <xdr:colOff>57150</xdr:colOff>
      <xdr:row>68</xdr:row>
      <xdr:rowOff>109008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52</xdr:row>
      <xdr:rowOff>75142</xdr:rowOff>
    </xdr:from>
    <xdr:to>
      <xdr:col>19</xdr:col>
      <xdr:colOff>276225</xdr:colOff>
      <xdr:row>68</xdr:row>
      <xdr:rowOff>109008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65</xdr:row>
      <xdr:rowOff>953</xdr:rowOff>
    </xdr:from>
    <xdr:to>
      <xdr:col>8</xdr:col>
      <xdr:colOff>464819</xdr:colOff>
      <xdr:row>80</xdr:row>
      <xdr:rowOff>138113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76203</xdr:colOff>
      <xdr:row>65</xdr:row>
      <xdr:rowOff>0</xdr:rowOff>
    </xdr:from>
    <xdr:to>
      <xdr:col>19</xdr:col>
      <xdr:colOff>449581</xdr:colOff>
      <xdr:row>80</xdr:row>
      <xdr:rowOff>118533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15240</xdr:colOff>
      <xdr:row>65</xdr:row>
      <xdr:rowOff>953</xdr:rowOff>
    </xdr:from>
    <xdr:to>
      <xdr:col>8</xdr:col>
      <xdr:colOff>464819</xdr:colOff>
      <xdr:row>80</xdr:row>
      <xdr:rowOff>138113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76203</xdr:colOff>
      <xdr:row>65</xdr:row>
      <xdr:rowOff>0</xdr:rowOff>
    </xdr:from>
    <xdr:to>
      <xdr:col>19</xdr:col>
      <xdr:colOff>449581</xdr:colOff>
      <xdr:row>80</xdr:row>
      <xdr:rowOff>118533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15240</xdr:colOff>
      <xdr:row>65</xdr:row>
      <xdr:rowOff>953</xdr:rowOff>
    </xdr:from>
    <xdr:to>
      <xdr:col>8</xdr:col>
      <xdr:colOff>464819</xdr:colOff>
      <xdr:row>80</xdr:row>
      <xdr:rowOff>138113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76203</xdr:colOff>
      <xdr:row>65</xdr:row>
      <xdr:rowOff>0</xdr:rowOff>
    </xdr:from>
    <xdr:to>
      <xdr:col>19</xdr:col>
      <xdr:colOff>449581</xdr:colOff>
      <xdr:row>80</xdr:row>
      <xdr:rowOff>118533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15240</xdr:colOff>
      <xdr:row>65</xdr:row>
      <xdr:rowOff>953</xdr:rowOff>
    </xdr:from>
    <xdr:to>
      <xdr:col>8</xdr:col>
      <xdr:colOff>464819</xdr:colOff>
      <xdr:row>80</xdr:row>
      <xdr:rowOff>138113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76203</xdr:colOff>
      <xdr:row>65</xdr:row>
      <xdr:rowOff>0</xdr:rowOff>
    </xdr:from>
    <xdr:to>
      <xdr:col>19</xdr:col>
      <xdr:colOff>449581</xdr:colOff>
      <xdr:row>80</xdr:row>
      <xdr:rowOff>118533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65</xdr:row>
      <xdr:rowOff>953</xdr:rowOff>
    </xdr:from>
    <xdr:to>
      <xdr:col>8</xdr:col>
      <xdr:colOff>464819</xdr:colOff>
      <xdr:row>80</xdr:row>
      <xdr:rowOff>138113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76203</xdr:colOff>
      <xdr:row>65</xdr:row>
      <xdr:rowOff>0</xdr:rowOff>
    </xdr:from>
    <xdr:to>
      <xdr:col>19</xdr:col>
      <xdr:colOff>449581</xdr:colOff>
      <xdr:row>80</xdr:row>
      <xdr:rowOff>118533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238125</xdr:colOff>
      <xdr:row>52</xdr:row>
      <xdr:rowOff>75142</xdr:rowOff>
    </xdr:from>
    <xdr:to>
      <xdr:col>18</xdr:col>
      <xdr:colOff>57150</xdr:colOff>
      <xdr:row>68</xdr:row>
      <xdr:rowOff>109008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238125</xdr:colOff>
      <xdr:row>52</xdr:row>
      <xdr:rowOff>75142</xdr:rowOff>
    </xdr:from>
    <xdr:to>
      <xdr:col>18</xdr:col>
      <xdr:colOff>57150</xdr:colOff>
      <xdr:row>68</xdr:row>
      <xdr:rowOff>109008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161926</xdr:colOff>
      <xdr:row>63</xdr:row>
      <xdr:rowOff>138113</xdr:rowOff>
    </xdr:from>
    <xdr:to>
      <xdr:col>8</xdr:col>
      <xdr:colOff>533399</xdr:colOff>
      <xdr:row>79</xdr:row>
      <xdr:rowOff>138113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76203</xdr:colOff>
      <xdr:row>64</xdr:row>
      <xdr:rowOff>0</xdr:rowOff>
    </xdr:from>
    <xdr:to>
      <xdr:col>19</xdr:col>
      <xdr:colOff>449581</xdr:colOff>
      <xdr:row>79</xdr:row>
      <xdr:rowOff>118533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161926</xdr:colOff>
      <xdr:row>63</xdr:row>
      <xdr:rowOff>138113</xdr:rowOff>
    </xdr:from>
    <xdr:to>
      <xdr:col>8</xdr:col>
      <xdr:colOff>533399</xdr:colOff>
      <xdr:row>79</xdr:row>
      <xdr:rowOff>138113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76203</xdr:colOff>
      <xdr:row>64</xdr:row>
      <xdr:rowOff>0</xdr:rowOff>
    </xdr:from>
    <xdr:to>
      <xdr:col>19</xdr:col>
      <xdr:colOff>449581</xdr:colOff>
      <xdr:row>79</xdr:row>
      <xdr:rowOff>118533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238125</xdr:colOff>
      <xdr:row>52</xdr:row>
      <xdr:rowOff>75142</xdr:rowOff>
    </xdr:from>
    <xdr:to>
      <xdr:col>18</xdr:col>
      <xdr:colOff>57150</xdr:colOff>
      <xdr:row>68</xdr:row>
      <xdr:rowOff>109008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238125</xdr:colOff>
      <xdr:row>52</xdr:row>
      <xdr:rowOff>75142</xdr:rowOff>
    </xdr:from>
    <xdr:to>
      <xdr:col>18</xdr:col>
      <xdr:colOff>57150</xdr:colOff>
      <xdr:row>68</xdr:row>
      <xdr:rowOff>109008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238125</xdr:colOff>
      <xdr:row>52</xdr:row>
      <xdr:rowOff>75142</xdr:rowOff>
    </xdr:from>
    <xdr:to>
      <xdr:col>18</xdr:col>
      <xdr:colOff>57150</xdr:colOff>
      <xdr:row>68</xdr:row>
      <xdr:rowOff>109008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52</xdr:row>
      <xdr:rowOff>63499</xdr:rowOff>
    </xdr:from>
    <xdr:to>
      <xdr:col>9</xdr:col>
      <xdr:colOff>206375</xdr:colOff>
      <xdr:row>68</xdr:row>
      <xdr:rowOff>99482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238125</xdr:colOff>
      <xdr:row>52</xdr:row>
      <xdr:rowOff>75142</xdr:rowOff>
    </xdr:from>
    <xdr:to>
      <xdr:col>18</xdr:col>
      <xdr:colOff>57150</xdr:colOff>
      <xdr:row>68</xdr:row>
      <xdr:rowOff>109008</xdr:rowOff>
    </xdr:to>
    <xdr:graphicFrame macro="">
      <xdr:nvGraphicFramePr>
        <xdr:cNvPr id="9" name="Diagramm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OneDrive%20-%20Sihtasutus%20Eesti%20Puuetega%20Inimesste%20Fond/Dokumendid_SAEPIFond/1Genadi%20Documents110204/NOUKOGU/Protokollid_a/2015/Org_Lim_2016_0,94_milj_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5_Liidud - 1,0 milj.€"/>
      <sheetName val="2016_Liidud - 0,94 milj.€"/>
      <sheetName val="2016_Maak. 0,94 milj.€_baas30%"/>
      <sheetName val="2015_Maakonnad_1,0 milj.€"/>
      <sheetName val="2015_Maak._0,9 milj.€_baas30%"/>
      <sheetName val="Maakonnad 2012_1,0 milj.€_vana"/>
      <sheetName val="Liidud - 700 000 €_ettep._2013"/>
      <sheetName val="Liidud - 0,95 milj.€_ettepanek"/>
      <sheetName val="30;20;30;20"/>
      <sheetName val="Leht2"/>
      <sheetName val="Maakonnad 2013_0,95milj.€_ettep"/>
      <sheetName val="Org.osalus"/>
      <sheetName val="5.komponendiga"/>
      <sheetName val="Maak.Grupid"/>
      <sheetName val="Liitude Grupid"/>
    </sheetNames>
    <sheetDataSet>
      <sheetData sheetId="0">
        <row r="47">
          <cell r="B47">
            <v>35</v>
          </cell>
        </row>
        <row r="48">
          <cell r="B48">
            <v>60</v>
          </cell>
        </row>
        <row r="49">
          <cell r="B49">
            <v>65</v>
          </cell>
        </row>
        <row r="50">
          <cell r="B50">
            <v>75</v>
          </cell>
        </row>
        <row r="51">
          <cell r="B51">
            <v>76</v>
          </cell>
        </row>
        <row r="52">
          <cell r="B52">
            <v>135</v>
          </cell>
        </row>
        <row r="53">
          <cell r="B53">
            <v>142</v>
          </cell>
        </row>
        <row r="54">
          <cell r="B54">
            <v>160</v>
          </cell>
        </row>
        <row r="55">
          <cell r="B55">
            <v>174</v>
          </cell>
        </row>
        <row r="56">
          <cell r="B56">
            <v>180</v>
          </cell>
        </row>
        <row r="57">
          <cell r="B57">
            <v>234</v>
          </cell>
        </row>
        <row r="58">
          <cell r="B58">
            <v>285</v>
          </cell>
        </row>
        <row r="59">
          <cell r="B59">
            <v>293</v>
          </cell>
        </row>
        <row r="60">
          <cell r="B60">
            <v>303</v>
          </cell>
        </row>
        <row r="61">
          <cell r="B61">
            <v>340</v>
          </cell>
        </row>
        <row r="62">
          <cell r="B62">
            <v>363</v>
          </cell>
        </row>
        <row r="63">
          <cell r="B63">
            <v>437</v>
          </cell>
        </row>
        <row r="64">
          <cell r="B64">
            <v>459</v>
          </cell>
        </row>
        <row r="65">
          <cell r="B65">
            <v>707</v>
          </cell>
        </row>
        <row r="66">
          <cell r="B66">
            <v>744</v>
          </cell>
        </row>
        <row r="67">
          <cell r="B67">
            <v>784</v>
          </cell>
        </row>
        <row r="68">
          <cell r="B68">
            <v>848</v>
          </cell>
        </row>
        <row r="69">
          <cell r="B69">
            <v>897</v>
          </cell>
        </row>
        <row r="70">
          <cell r="B70">
            <v>1085</v>
          </cell>
        </row>
        <row r="71">
          <cell r="B71">
            <v>1600</v>
          </cell>
        </row>
        <row r="72">
          <cell r="B72">
            <v>1613</v>
          </cell>
        </row>
        <row r="73">
          <cell r="B73">
            <v>1765</v>
          </cell>
        </row>
        <row r="74">
          <cell r="B74">
            <v>2248</v>
          </cell>
        </row>
        <row r="75">
          <cell r="B75">
            <v>5896</v>
          </cell>
        </row>
      </sheetData>
      <sheetData sheetId="1">
        <row r="50">
          <cell r="J50">
            <v>600</v>
          </cell>
        </row>
        <row r="51">
          <cell r="J51">
            <v>1520</v>
          </cell>
        </row>
        <row r="52">
          <cell r="J52">
            <v>2390</v>
          </cell>
        </row>
        <row r="53">
          <cell r="J53">
            <v>2398</v>
          </cell>
        </row>
        <row r="54">
          <cell r="J54">
            <v>3223</v>
          </cell>
        </row>
        <row r="55">
          <cell r="J55">
            <v>3257</v>
          </cell>
        </row>
        <row r="56">
          <cell r="J56">
            <v>3385</v>
          </cell>
        </row>
        <row r="57">
          <cell r="J57">
            <v>3735</v>
          </cell>
        </row>
        <row r="58">
          <cell r="J58">
            <v>6012</v>
          </cell>
        </row>
        <row r="59">
          <cell r="J59">
            <v>7927</v>
          </cell>
        </row>
        <row r="60">
          <cell r="J60">
            <v>9372</v>
          </cell>
        </row>
        <row r="61">
          <cell r="J61">
            <v>12542</v>
          </cell>
        </row>
        <row r="62">
          <cell r="J62">
            <v>12867</v>
          </cell>
        </row>
        <row r="63">
          <cell r="J63">
            <v>17861</v>
          </cell>
        </row>
        <row r="64">
          <cell r="J64">
            <v>26237</v>
          </cell>
        </row>
        <row r="65">
          <cell r="J65">
            <v>27421</v>
          </cell>
        </row>
        <row r="66">
          <cell r="J66">
            <v>28648</v>
          </cell>
        </row>
        <row r="67">
          <cell r="J67">
            <v>33136</v>
          </cell>
        </row>
        <row r="68">
          <cell r="J68">
            <v>35139</v>
          </cell>
        </row>
        <row r="69">
          <cell r="J69">
            <v>39378</v>
          </cell>
        </row>
        <row r="70">
          <cell r="J70">
            <v>42718</v>
          </cell>
        </row>
        <row r="71">
          <cell r="J71">
            <v>45991</v>
          </cell>
        </row>
        <row r="72">
          <cell r="J72">
            <v>46459</v>
          </cell>
        </row>
        <row r="73">
          <cell r="J73">
            <v>47462</v>
          </cell>
        </row>
        <row r="74">
          <cell r="J74">
            <v>59841</v>
          </cell>
        </row>
        <row r="75">
          <cell r="J75">
            <v>93170</v>
          </cell>
        </row>
        <row r="76">
          <cell r="J76">
            <v>215071</v>
          </cell>
        </row>
        <row r="77">
          <cell r="J77">
            <v>322699</v>
          </cell>
        </row>
        <row r="78">
          <cell r="J78">
            <v>0</v>
          </cell>
        </row>
      </sheetData>
      <sheetData sheetId="2"/>
      <sheetData sheetId="3">
        <row r="35">
          <cell r="C35">
            <v>147</v>
          </cell>
          <cell r="K35">
            <v>16321</v>
          </cell>
        </row>
        <row r="36">
          <cell r="C36">
            <v>471</v>
          </cell>
          <cell r="K36">
            <v>20125</v>
          </cell>
        </row>
        <row r="37">
          <cell r="C37">
            <v>523</v>
          </cell>
          <cell r="K37">
            <v>21245</v>
          </cell>
        </row>
        <row r="38">
          <cell r="C38">
            <v>576</v>
          </cell>
          <cell r="K38">
            <v>26655</v>
          </cell>
        </row>
        <row r="39">
          <cell r="C39">
            <v>603</v>
          </cell>
          <cell r="K39">
            <v>37658</v>
          </cell>
        </row>
        <row r="40">
          <cell r="C40">
            <v>605</v>
          </cell>
          <cell r="K40">
            <v>40885</v>
          </cell>
        </row>
        <row r="41">
          <cell r="C41">
            <v>716</v>
          </cell>
          <cell r="K41">
            <v>43207</v>
          </cell>
        </row>
        <row r="42">
          <cell r="C42">
            <v>887</v>
          </cell>
          <cell r="K42">
            <v>47537</v>
          </cell>
        </row>
        <row r="43">
          <cell r="C43">
            <v>914</v>
          </cell>
          <cell r="K43">
            <v>56702</v>
          </cell>
        </row>
        <row r="44">
          <cell r="C44">
            <v>1075</v>
          </cell>
          <cell r="K44">
            <v>59329</v>
          </cell>
        </row>
        <row r="45">
          <cell r="C45">
            <v>1257</v>
          </cell>
          <cell r="K45">
            <v>69430</v>
          </cell>
        </row>
        <row r="46">
          <cell r="C46">
            <v>1398</v>
          </cell>
          <cell r="K46">
            <v>110249</v>
          </cell>
        </row>
        <row r="47">
          <cell r="C47">
            <v>1906</v>
          </cell>
          <cell r="K47">
            <v>181790</v>
          </cell>
        </row>
        <row r="48">
          <cell r="C48">
            <v>2759</v>
          </cell>
          <cell r="K48">
            <v>320099</v>
          </cell>
        </row>
        <row r="49">
          <cell r="C49">
            <v>3158</v>
          </cell>
          <cell r="K49">
            <v>322057</v>
          </cell>
        </row>
        <row r="50">
          <cell r="C50">
            <v>4451</v>
          </cell>
          <cell r="K50">
            <v>367770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5"/>
  <sheetViews>
    <sheetView topLeftCell="A7" workbookViewId="0">
      <selection activeCell="D13" sqref="D13"/>
    </sheetView>
  </sheetViews>
  <sheetFormatPr defaultColWidth="9.1796875" defaultRowHeight="14"/>
  <cols>
    <col min="1" max="1" width="6" style="519" customWidth="1"/>
    <col min="2" max="2" width="4.54296875" style="519" customWidth="1"/>
    <col min="3" max="3" width="50.1796875" style="520" customWidth="1"/>
    <col min="4" max="4" width="17.54296875" style="580" customWidth="1"/>
    <col min="5" max="5" width="9.1796875" style="520"/>
    <col min="6" max="6" width="15.6328125" style="520" customWidth="1"/>
    <col min="7" max="7" width="16.6328125" style="520" customWidth="1"/>
    <col min="8" max="254" width="9.1796875" style="520"/>
    <col min="255" max="255" width="6" style="520" customWidth="1"/>
    <col min="256" max="256" width="4.54296875" style="520" customWidth="1"/>
    <col min="257" max="257" width="50.1796875" style="520" customWidth="1"/>
    <col min="258" max="258" width="15.26953125" style="520" customWidth="1"/>
    <col min="259" max="259" width="15.26953125" style="520" bestFit="1" customWidth="1"/>
    <col min="260" max="260" width="7.1796875" style="520" customWidth="1"/>
    <col min="261" max="510" width="9.1796875" style="520"/>
    <col min="511" max="511" width="6" style="520" customWidth="1"/>
    <col min="512" max="512" width="4.54296875" style="520" customWidth="1"/>
    <col min="513" max="513" width="50.1796875" style="520" customWidth="1"/>
    <col min="514" max="514" width="15.26953125" style="520" customWidth="1"/>
    <col min="515" max="515" width="15.26953125" style="520" bestFit="1" customWidth="1"/>
    <col min="516" max="516" width="7.1796875" style="520" customWidth="1"/>
    <col min="517" max="766" width="9.1796875" style="520"/>
    <col min="767" max="767" width="6" style="520" customWidth="1"/>
    <col min="768" max="768" width="4.54296875" style="520" customWidth="1"/>
    <col min="769" max="769" width="50.1796875" style="520" customWidth="1"/>
    <col min="770" max="770" width="15.26953125" style="520" customWidth="1"/>
    <col min="771" max="771" width="15.26953125" style="520" bestFit="1" customWidth="1"/>
    <col min="772" max="772" width="7.1796875" style="520" customWidth="1"/>
    <col min="773" max="1022" width="9.1796875" style="520"/>
    <col min="1023" max="1023" width="6" style="520" customWidth="1"/>
    <col min="1024" max="1024" width="4.54296875" style="520" customWidth="1"/>
    <col min="1025" max="1025" width="50.1796875" style="520" customWidth="1"/>
    <col min="1026" max="1026" width="15.26953125" style="520" customWidth="1"/>
    <col min="1027" max="1027" width="15.26953125" style="520" bestFit="1" customWidth="1"/>
    <col min="1028" max="1028" width="7.1796875" style="520" customWidth="1"/>
    <col min="1029" max="1278" width="9.1796875" style="520"/>
    <col min="1279" max="1279" width="6" style="520" customWidth="1"/>
    <col min="1280" max="1280" width="4.54296875" style="520" customWidth="1"/>
    <col min="1281" max="1281" width="50.1796875" style="520" customWidth="1"/>
    <col min="1282" max="1282" width="15.26953125" style="520" customWidth="1"/>
    <col min="1283" max="1283" width="15.26953125" style="520" bestFit="1" customWidth="1"/>
    <col min="1284" max="1284" width="7.1796875" style="520" customWidth="1"/>
    <col min="1285" max="1534" width="9.1796875" style="520"/>
    <col min="1535" max="1535" width="6" style="520" customWidth="1"/>
    <col min="1536" max="1536" width="4.54296875" style="520" customWidth="1"/>
    <col min="1537" max="1537" width="50.1796875" style="520" customWidth="1"/>
    <col min="1538" max="1538" width="15.26953125" style="520" customWidth="1"/>
    <col min="1539" max="1539" width="15.26953125" style="520" bestFit="1" customWidth="1"/>
    <col min="1540" max="1540" width="7.1796875" style="520" customWidth="1"/>
    <col min="1541" max="1790" width="9.1796875" style="520"/>
    <col min="1791" max="1791" width="6" style="520" customWidth="1"/>
    <col min="1792" max="1792" width="4.54296875" style="520" customWidth="1"/>
    <col min="1793" max="1793" width="50.1796875" style="520" customWidth="1"/>
    <col min="1794" max="1794" width="15.26953125" style="520" customWidth="1"/>
    <col min="1795" max="1795" width="15.26953125" style="520" bestFit="1" customWidth="1"/>
    <col min="1796" max="1796" width="7.1796875" style="520" customWidth="1"/>
    <col min="1797" max="2046" width="9.1796875" style="520"/>
    <col min="2047" max="2047" width="6" style="520" customWidth="1"/>
    <col min="2048" max="2048" width="4.54296875" style="520" customWidth="1"/>
    <col min="2049" max="2049" width="50.1796875" style="520" customWidth="1"/>
    <col min="2050" max="2050" width="15.26953125" style="520" customWidth="1"/>
    <col min="2051" max="2051" width="15.26953125" style="520" bestFit="1" customWidth="1"/>
    <col min="2052" max="2052" width="7.1796875" style="520" customWidth="1"/>
    <col min="2053" max="2302" width="9.1796875" style="520"/>
    <col min="2303" max="2303" width="6" style="520" customWidth="1"/>
    <col min="2304" max="2304" width="4.54296875" style="520" customWidth="1"/>
    <col min="2305" max="2305" width="50.1796875" style="520" customWidth="1"/>
    <col min="2306" max="2306" width="15.26953125" style="520" customWidth="1"/>
    <col min="2307" max="2307" width="15.26953125" style="520" bestFit="1" customWidth="1"/>
    <col min="2308" max="2308" width="7.1796875" style="520" customWidth="1"/>
    <col min="2309" max="2558" width="9.1796875" style="520"/>
    <col min="2559" max="2559" width="6" style="520" customWidth="1"/>
    <col min="2560" max="2560" width="4.54296875" style="520" customWidth="1"/>
    <col min="2561" max="2561" width="50.1796875" style="520" customWidth="1"/>
    <col min="2562" max="2562" width="15.26953125" style="520" customWidth="1"/>
    <col min="2563" max="2563" width="15.26953125" style="520" bestFit="1" customWidth="1"/>
    <col min="2564" max="2564" width="7.1796875" style="520" customWidth="1"/>
    <col min="2565" max="2814" width="9.1796875" style="520"/>
    <col min="2815" max="2815" width="6" style="520" customWidth="1"/>
    <col min="2816" max="2816" width="4.54296875" style="520" customWidth="1"/>
    <col min="2817" max="2817" width="50.1796875" style="520" customWidth="1"/>
    <col min="2818" max="2818" width="15.26953125" style="520" customWidth="1"/>
    <col min="2819" max="2819" width="15.26953125" style="520" bestFit="1" customWidth="1"/>
    <col min="2820" max="2820" width="7.1796875" style="520" customWidth="1"/>
    <col min="2821" max="3070" width="9.1796875" style="520"/>
    <col min="3071" max="3071" width="6" style="520" customWidth="1"/>
    <col min="3072" max="3072" width="4.54296875" style="520" customWidth="1"/>
    <col min="3073" max="3073" width="50.1796875" style="520" customWidth="1"/>
    <col min="3074" max="3074" width="15.26953125" style="520" customWidth="1"/>
    <col min="3075" max="3075" width="15.26953125" style="520" bestFit="1" customWidth="1"/>
    <col min="3076" max="3076" width="7.1796875" style="520" customWidth="1"/>
    <col min="3077" max="3326" width="9.1796875" style="520"/>
    <col min="3327" max="3327" width="6" style="520" customWidth="1"/>
    <col min="3328" max="3328" width="4.54296875" style="520" customWidth="1"/>
    <col min="3329" max="3329" width="50.1796875" style="520" customWidth="1"/>
    <col min="3330" max="3330" width="15.26953125" style="520" customWidth="1"/>
    <col min="3331" max="3331" width="15.26953125" style="520" bestFit="1" customWidth="1"/>
    <col min="3332" max="3332" width="7.1796875" style="520" customWidth="1"/>
    <col min="3333" max="3582" width="9.1796875" style="520"/>
    <col min="3583" max="3583" width="6" style="520" customWidth="1"/>
    <col min="3584" max="3584" width="4.54296875" style="520" customWidth="1"/>
    <col min="3585" max="3585" width="50.1796875" style="520" customWidth="1"/>
    <col min="3586" max="3586" width="15.26953125" style="520" customWidth="1"/>
    <col min="3587" max="3587" width="15.26953125" style="520" bestFit="1" customWidth="1"/>
    <col min="3588" max="3588" width="7.1796875" style="520" customWidth="1"/>
    <col min="3589" max="3838" width="9.1796875" style="520"/>
    <col min="3839" max="3839" width="6" style="520" customWidth="1"/>
    <col min="3840" max="3840" width="4.54296875" style="520" customWidth="1"/>
    <col min="3841" max="3841" width="50.1796875" style="520" customWidth="1"/>
    <col min="3842" max="3842" width="15.26953125" style="520" customWidth="1"/>
    <col min="3843" max="3843" width="15.26953125" style="520" bestFit="1" customWidth="1"/>
    <col min="3844" max="3844" width="7.1796875" style="520" customWidth="1"/>
    <col min="3845" max="4094" width="9.1796875" style="520"/>
    <col min="4095" max="4095" width="6" style="520" customWidth="1"/>
    <col min="4096" max="4096" width="4.54296875" style="520" customWidth="1"/>
    <col min="4097" max="4097" width="50.1796875" style="520" customWidth="1"/>
    <col min="4098" max="4098" width="15.26953125" style="520" customWidth="1"/>
    <col min="4099" max="4099" width="15.26953125" style="520" bestFit="1" customWidth="1"/>
    <col min="4100" max="4100" width="7.1796875" style="520" customWidth="1"/>
    <col min="4101" max="4350" width="9.1796875" style="520"/>
    <col min="4351" max="4351" width="6" style="520" customWidth="1"/>
    <col min="4352" max="4352" width="4.54296875" style="520" customWidth="1"/>
    <col min="4353" max="4353" width="50.1796875" style="520" customWidth="1"/>
    <col min="4354" max="4354" width="15.26953125" style="520" customWidth="1"/>
    <col min="4355" max="4355" width="15.26953125" style="520" bestFit="1" customWidth="1"/>
    <col min="4356" max="4356" width="7.1796875" style="520" customWidth="1"/>
    <col min="4357" max="4606" width="9.1796875" style="520"/>
    <col min="4607" max="4607" width="6" style="520" customWidth="1"/>
    <col min="4608" max="4608" width="4.54296875" style="520" customWidth="1"/>
    <col min="4609" max="4609" width="50.1796875" style="520" customWidth="1"/>
    <col min="4610" max="4610" width="15.26953125" style="520" customWidth="1"/>
    <col min="4611" max="4611" width="15.26953125" style="520" bestFit="1" customWidth="1"/>
    <col min="4612" max="4612" width="7.1796875" style="520" customWidth="1"/>
    <col min="4613" max="4862" width="9.1796875" style="520"/>
    <col min="4863" max="4863" width="6" style="520" customWidth="1"/>
    <col min="4864" max="4864" width="4.54296875" style="520" customWidth="1"/>
    <col min="4865" max="4865" width="50.1796875" style="520" customWidth="1"/>
    <col min="4866" max="4866" width="15.26953125" style="520" customWidth="1"/>
    <col min="4867" max="4867" width="15.26953125" style="520" bestFit="1" customWidth="1"/>
    <col min="4868" max="4868" width="7.1796875" style="520" customWidth="1"/>
    <col min="4869" max="5118" width="9.1796875" style="520"/>
    <col min="5119" max="5119" width="6" style="520" customWidth="1"/>
    <col min="5120" max="5120" width="4.54296875" style="520" customWidth="1"/>
    <col min="5121" max="5121" width="50.1796875" style="520" customWidth="1"/>
    <col min="5122" max="5122" width="15.26953125" style="520" customWidth="1"/>
    <col min="5123" max="5123" width="15.26953125" style="520" bestFit="1" customWidth="1"/>
    <col min="5124" max="5124" width="7.1796875" style="520" customWidth="1"/>
    <col min="5125" max="5374" width="9.1796875" style="520"/>
    <col min="5375" max="5375" width="6" style="520" customWidth="1"/>
    <col min="5376" max="5376" width="4.54296875" style="520" customWidth="1"/>
    <col min="5377" max="5377" width="50.1796875" style="520" customWidth="1"/>
    <col min="5378" max="5378" width="15.26953125" style="520" customWidth="1"/>
    <col min="5379" max="5379" width="15.26953125" style="520" bestFit="1" customWidth="1"/>
    <col min="5380" max="5380" width="7.1796875" style="520" customWidth="1"/>
    <col min="5381" max="5630" width="9.1796875" style="520"/>
    <col min="5631" max="5631" width="6" style="520" customWidth="1"/>
    <col min="5632" max="5632" width="4.54296875" style="520" customWidth="1"/>
    <col min="5633" max="5633" width="50.1796875" style="520" customWidth="1"/>
    <col min="5634" max="5634" width="15.26953125" style="520" customWidth="1"/>
    <col min="5635" max="5635" width="15.26953125" style="520" bestFit="1" customWidth="1"/>
    <col min="5636" max="5636" width="7.1796875" style="520" customWidth="1"/>
    <col min="5637" max="5886" width="9.1796875" style="520"/>
    <col min="5887" max="5887" width="6" style="520" customWidth="1"/>
    <col min="5888" max="5888" width="4.54296875" style="520" customWidth="1"/>
    <col min="5889" max="5889" width="50.1796875" style="520" customWidth="1"/>
    <col min="5890" max="5890" width="15.26953125" style="520" customWidth="1"/>
    <col min="5891" max="5891" width="15.26953125" style="520" bestFit="1" customWidth="1"/>
    <col min="5892" max="5892" width="7.1796875" style="520" customWidth="1"/>
    <col min="5893" max="6142" width="9.1796875" style="520"/>
    <col min="6143" max="6143" width="6" style="520" customWidth="1"/>
    <col min="6144" max="6144" width="4.54296875" style="520" customWidth="1"/>
    <col min="6145" max="6145" width="50.1796875" style="520" customWidth="1"/>
    <col min="6146" max="6146" width="15.26953125" style="520" customWidth="1"/>
    <col min="6147" max="6147" width="15.26953125" style="520" bestFit="1" customWidth="1"/>
    <col min="6148" max="6148" width="7.1796875" style="520" customWidth="1"/>
    <col min="6149" max="6398" width="9.1796875" style="520"/>
    <col min="6399" max="6399" width="6" style="520" customWidth="1"/>
    <col min="6400" max="6400" width="4.54296875" style="520" customWidth="1"/>
    <col min="6401" max="6401" width="50.1796875" style="520" customWidth="1"/>
    <col min="6402" max="6402" width="15.26953125" style="520" customWidth="1"/>
    <col min="6403" max="6403" width="15.26953125" style="520" bestFit="1" customWidth="1"/>
    <col min="6404" max="6404" width="7.1796875" style="520" customWidth="1"/>
    <col min="6405" max="6654" width="9.1796875" style="520"/>
    <col min="6655" max="6655" width="6" style="520" customWidth="1"/>
    <col min="6656" max="6656" width="4.54296875" style="520" customWidth="1"/>
    <col min="6657" max="6657" width="50.1796875" style="520" customWidth="1"/>
    <col min="6658" max="6658" width="15.26953125" style="520" customWidth="1"/>
    <col min="6659" max="6659" width="15.26953125" style="520" bestFit="1" customWidth="1"/>
    <col min="6660" max="6660" width="7.1796875" style="520" customWidth="1"/>
    <col min="6661" max="6910" width="9.1796875" style="520"/>
    <col min="6911" max="6911" width="6" style="520" customWidth="1"/>
    <col min="6912" max="6912" width="4.54296875" style="520" customWidth="1"/>
    <col min="6913" max="6913" width="50.1796875" style="520" customWidth="1"/>
    <col min="6914" max="6914" width="15.26953125" style="520" customWidth="1"/>
    <col min="6915" max="6915" width="15.26953125" style="520" bestFit="1" customWidth="1"/>
    <col min="6916" max="6916" width="7.1796875" style="520" customWidth="1"/>
    <col min="6917" max="7166" width="9.1796875" style="520"/>
    <col min="7167" max="7167" width="6" style="520" customWidth="1"/>
    <col min="7168" max="7168" width="4.54296875" style="520" customWidth="1"/>
    <col min="7169" max="7169" width="50.1796875" style="520" customWidth="1"/>
    <col min="7170" max="7170" width="15.26953125" style="520" customWidth="1"/>
    <col min="7171" max="7171" width="15.26953125" style="520" bestFit="1" customWidth="1"/>
    <col min="7172" max="7172" width="7.1796875" style="520" customWidth="1"/>
    <col min="7173" max="7422" width="9.1796875" style="520"/>
    <col min="7423" max="7423" width="6" style="520" customWidth="1"/>
    <col min="7424" max="7424" width="4.54296875" style="520" customWidth="1"/>
    <col min="7425" max="7425" width="50.1796875" style="520" customWidth="1"/>
    <col min="7426" max="7426" width="15.26953125" style="520" customWidth="1"/>
    <col min="7427" max="7427" width="15.26953125" style="520" bestFit="1" customWidth="1"/>
    <col min="7428" max="7428" width="7.1796875" style="520" customWidth="1"/>
    <col min="7429" max="7678" width="9.1796875" style="520"/>
    <col min="7679" max="7679" width="6" style="520" customWidth="1"/>
    <col min="7680" max="7680" width="4.54296875" style="520" customWidth="1"/>
    <col min="7681" max="7681" width="50.1796875" style="520" customWidth="1"/>
    <col min="7682" max="7682" width="15.26953125" style="520" customWidth="1"/>
    <col min="7683" max="7683" width="15.26953125" style="520" bestFit="1" customWidth="1"/>
    <col min="7684" max="7684" width="7.1796875" style="520" customWidth="1"/>
    <col min="7685" max="7934" width="9.1796875" style="520"/>
    <col min="7935" max="7935" width="6" style="520" customWidth="1"/>
    <col min="7936" max="7936" width="4.54296875" style="520" customWidth="1"/>
    <col min="7937" max="7937" width="50.1796875" style="520" customWidth="1"/>
    <col min="7938" max="7938" width="15.26953125" style="520" customWidth="1"/>
    <col min="7939" max="7939" width="15.26953125" style="520" bestFit="1" customWidth="1"/>
    <col min="7940" max="7940" width="7.1796875" style="520" customWidth="1"/>
    <col min="7941" max="8190" width="9.1796875" style="520"/>
    <col min="8191" max="8191" width="6" style="520" customWidth="1"/>
    <col min="8192" max="8192" width="4.54296875" style="520" customWidth="1"/>
    <col min="8193" max="8193" width="50.1796875" style="520" customWidth="1"/>
    <col min="8194" max="8194" width="15.26953125" style="520" customWidth="1"/>
    <col min="8195" max="8195" width="15.26953125" style="520" bestFit="1" customWidth="1"/>
    <col min="8196" max="8196" width="7.1796875" style="520" customWidth="1"/>
    <col min="8197" max="8446" width="9.1796875" style="520"/>
    <col min="8447" max="8447" width="6" style="520" customWidth="1"/>
    <col min="8448" max="8448" width="4.54296875" style="520" customWidth="1"/>
    <col min="8449" max="8449" width="50.1796875" style="520" customWidth="1"/>
    <col min="8450" max="8450" width="15.26953125" style="520" customWidth="1"/>
    <col min="8451" max="8451" width="15.26953125" style="520" bestFit="1" customWidth="1"/>
    <col min="8452" max="8452" width="7.1796875" style="520" customWidth="1"/>
    <col min="8453" max="8702" width="9.1796875" style="520"/>
    <col min="8703" max="8703" width="6" style="520" customWidth="1"/>
    <col min="8704" max="8704" width="4.54296875" style="520" customWidth="1"/>
    <col min="8705" max="8705" width="50.1796875" style="520" customWidth="1"/>
    <col min="8706" max="8706" width="15.26953125" style="520" customWidth="1"/>
    <col min="8707" max="8707" width="15.26953125" style="520" bestFit="1" customWidth="1"/>
    <col min="8708" max="8708" width="7.1796875" style="520" customWidth="1"/>
    <col min="8709" max="8958" width="9.1796875" style="520"/>
    <col min="8959" max="8959" width="6" style="520" customWidth="1"/>
    <col min="8960" max="8960" width="4.54296875" style="520" customWidth="1"/>
    <col min="8961" max="8961" width="50.1796875" style="520" customWidth="1"/>
    <col min="8962" max="8962" width="15.26953125" style="520" customWidth="1"/>
    <col min="8963" max="8963" width="15.26953125" style="520" bestFit="1" customWidth="1"/>
    <col min="8964" max="8964" width="7.1796875" style="520" customWidth="1"/>
    <col min="8965" max="9214" width="9.1796875" style="520"/>
    <col min="9215" max="9215" width="6" style="520" customWidth="1"/>
    <col min="9216" max="9216" width="4.54296875" style="520" customWidth="1"/>
    <col min="9217" max="9217" width="50.1796875" style="520" customWidth="1"/>
    <col min="9218" max="9218" width="15.26953125" style="520" customWidth="1"/>
    <col min="9219" max="9219" width="15.26953125" style="520" bestFit="1" customWidth="1"/>
    <col min="9220" max="9220" width="7.1796875" style="520" customWidth="1"/>
    <col min="9221" max="9470" width="9.1796875" style="520"/>
    <col min="9471" max="9471" width="6" style="520" customWidth="1"/>
    <col min="9472" max="9472" width="4.54296875" style="520" customWidth="1"/>
    <col min="9473" max="9473" width="50.1796875" style="520" customWidth="1"/>
    <col min="9474" max="9474" width="15.26953125" style="520" customWidth="1"/>
    <col min="9475" max="9475" width="15.26953125" style="520" bestFit="1" customWidth="1"/>
    <col min="9476" max="9476" width="7.1796875" style="520" customWidth="1"/>
    <col min="9477" max="9726" width="9.1796875" style="520"/>
    <col min="9727" max="9727" width="6" style="520" customWidth="1"/>
    <col min="9728" max="9728" width="4.54296875" style="520" customWidth="1"/>
    <col min="9729" max="9729" width="50.1796875" style="520" customWidth="1"/>
    <col min="9730" max="9730" width="15.26953125" style="520" customWidth="1"/>
    <col min="9731" max="9731" width="15.26953125" style="520" bestFit="1" customWidth="1"/>
    <col min="9732" max="9732" width="7.1796875" style="520" customWidth="1"/>
    <col min="9733" max="9982" width="9.1796875" style="520"/>
    <col min="9983" max="9983" width="6" style="520" customWidth="1"/>
    <col min="9984" max="9984" width="4.54296875" style="520" customWidth="1"/>
    <col min="9985" max="9985" width="50.1796875" style="520" customWidth="1"/>
    <col min="9986" max="9986" width="15.26953125" style="520" customWidth="1"/>
    <col min="9987" max="9987" width="15.26953125" style="520" bestFit="1" customWidth="1"/>
    <col min="9988" max="9988" width="7.1796875" style="520" customWidth="1"/>
    <col min="9989" max="10238" width="9.1796875" style="520"/>
    <col min="10239" max="10239" width="6" style="520" customWidth="1"/>
    <col min="10240" max="10240" width="4.54296875" style="520" customWidth="1"/>
    <col min="10241" max="10241" width="50.1796875" style="520" customWidth="1"/>
    <col min="10242" max="10242" width="15.26953125" style="520" customWidth="1"/>
    <col min="10243" max="10243" width="15.26953125" style="520" bestFit="1" customWidth="1"/>
    <col min="10244" max="10244" width="7.1796875" style="520" customWidth="1"/>
    <col min="10245" max="10494" width="9.1796875" style="520"/>
    <col min="10495" max="10495" width="6" style="520" customWidth="1"/>
    <col min="10496" max="10496" width="4.54296875" style="520" customWidth="1"/>
    <col min="10497" max="10497" width="50.1796875" style="520" customWidth="1"/>
    <col min="10498" max="10498" width="15.26953125" style="520" customWidth="1"/>
    <col min="10499" max="10499" width="15.26953125" style="520" bestFit="1" customWidth="1"/>
    <col min="10500" max="10500" width="7.1796875" style="520" customWidth="1"/>
    <col min="10501" max="10750" width="9.1796875" style="520"/>
    <col min="10751" max="10751" width="6" style="520" customWidth="1"/>
    <col min="10752" max="10752" width="4.54296875" style="520" customWidth="1"/>
    <col min="10753" max="10753" width="50.1796875" style="520" customWidth="1"/>
    <col min="10754" max="10754" width="15.26953125" style="520" customWidth="1"/>
    <col min="10755" max="10755" width="15.26953125" style="520" bestFit="1" customWidth="1"/>
    <col min="10756" max="10756" width="7.1796875" style="520" customWidth="1"/>
    <col min="10757" max="11006" width="9.1796875" style="520"/>
    <col min="11007" max="11007" width="6" style="520" customWidth="1"/>
    <col min="11008" max="11008" width="4.54296875" style="520" customWidth="1"/>
    <col min="11009" max="11009" width="50.1796875" style="520" customWidth="1"/>
    <col min="11010" max="11010" width="15.26953125" style="520" customWidth="1"/>
    <col min="11011" max="11011" width="15.26953125" style="520" bestFit="1" customWidth="1"/>
    <col min="11012" max="11012" width="7.1796875" style="520" customWidth="1"/>
    <col min="11013" max="11262" width="9.1796875" style="520"/>
    <col min="11263" max="11263" width="6" style="520" customWidth="1"/>
    <col min="11264" max="11264" width="4.54296875" style="520" customWidth="1"/>
    <col min="11265" max="11265" width="50.1796875" style="520" customWidth="1"/>
    <col min="11266" max="11266" width="15.26953125" style="520" customWidth="1"/>
    <col min="11267" max="11267" width="15.26953125" style="520" bestFit="1" customWidth="1"/>
    <col min="11268" max="11268" width="7.1796875" style="520" customWidth="1"/>
    <col min="11269" max="11518" width="9.1796875" style="520"/>
    <col min="11519" max="11519" width="6" style="520" customWidth="1"/>
    <col min="11520" max="11520" width="4.54296875" style="520" customWidth="1"/>
    <col min="11521" max="11521" width="50.1796875" style="520" customWidth="1"/>
    <col min="11522" max="11522" width="15.26953125" style="520" customWidth="1"/>
    <col min="11523" max="11523" width="15.26953125" style="520" bestFit="1" customWidth="1"/>
    <col min="11524" max="11524" width="7.1796875" style="520" customWidth="1"/>
    <col min="11525" max="11774" width="9.1796875" style="520"/>
    <col min="11775" max="11775" width="6" style="520" customWidth="1"/>
    <col min="11776" max="11776" width="4.54296875" style="520" customWidth="1"/>
    <col min="11777" max="11777" width="50.1796875" style="520" customWidth="1"/>
    <col min="11778" max="11778" width="15.26953125" style="520" customWidth="1"/>
    <col min="11779" max="11779" width="15.26953125" style="520" bestFit="1" customWidth="1"/>
    <col min="11780" max="11780" width="7.1796875" style="520" customWidth="1"/>
    <col min="11781" max="12030" width="9.1796875" style="520"/>
    <col min="12031" max="12031" width="6" style="520" customWidth="1"/>
    <col min="12032" max="12032" width="4.54296875" style="520" customWidth="1"/>
    <col min="12033" max="12033" width="50.1796875" style="520" customWidth="1"/>
    <col min="12034" max="12034" width="15.26953125" style="520" customWidth="1"/>
    <col min="12035" max="12035" width="15.26953125" style="520" bestFit="1" customWidth="1"/>
    <col min="12036" max="12036" width="7.1796875" style="520" customWidth="1"/>
    <col min="12037" max="12286" width="9.1796875" style="520"/>
    <col min="12287" max="12287" width="6" style="520" customWidth="1"/>
    <col min="12288" max="12288" width="4.54296875" style="520" customWidth="1"/>
    <col min="12289" max="12289" width="50.1796875" style="520" customWidth="1"/>
    <col min="12290" max="12290" width="15.26953125" style="520" customWidth="1"/>
    <col min="12291" max="12291" width="15.26953125" style="520" bestFit="1" customWidth="1"/>
    <col min="12292" max="12292" width="7.1796875" style="520" customWidth="1"/>
    <col min="12293" max="12542" width="9.1796875" style="520"/>
    <col min="12543" max="12543" width="6" style="520" customWidth="1"/>
    <col min="12544" max="12544" width="4.54296875" style="520" customWidth="1"/>
    <col min="12545" max="12545" width="50.1796875" style="520" customWidth="1"/>
    <col min="12546" max="12546" width="15.26953125" style="520" customWidth="1"/>
    <col min="12547" max="12547" width="15.26953125" style="520" bestFit="1" customWidth="1"/>
    <col min="12548" max="12548" width="7.1796875" style="520" customWidth="1"/>
    <col min="12549" max="12798" width="9.1796875" style="520"/>
    <col min="12799" max="12799" width="6" style="520" customWidth="1"/>
    <col min="12800" max="12800" width="4.54296875" style="520" customWidth="1"/>
    <col min="12801" max="12801" width="50.1796875" style="520" customWidth="1"/>
    <col min="12802" max="12802" width="15.26953125" style="520" customWidth="1"/>
    <col min="12803" max="12803" width="15.26953125" style="520" bestFit="1" customWidth="1"/>
    <col min="12804" max="12804" width="7.1796875" style="520" customWidth="1"/>
    <col min="12805" max="13054" width="9.1796875" style="520"/>
    <col min="13055" max="13055" width="6" style="520" customWidth="1"/>
    <col min="13056" max="13056" width="4.54296875" style="520" customWidth="1"/>
    <col min="13057" max="13057" width="50.1796875" style="520" customWidth="1"/>
    <col min="13058" max="13058" width="15.26953125" style="520" customWidth="1"/>
    <col min="13059" max="13059" width="15.26953125" style="520" bestFit="1" customWidth="1"/>
    <col min="13060" max="13060" width="7.1796875" style="520" customWidth="1"/>
    <col min="13061" max="13310" width="9.1796875" style="520"/>
    <col min="13311" max="13311" width="6" style="520" customWidth="1"/>
    <col min="13312" max="13312" width="4.54296875" style="520" customWidth="1"/>
    <col min="13313" max="13313" width="50.1796875" style="520" customWidth="1"/>
    <col min="13314" max="13314" width="15.26953125" style="520" customWidth="1"/>
    <col min="13315" max="13315" width="15.26953125" style="520" bestFit="1" customWidth="1"/>
    <col min="13316" max="13316" width="7.1796875" style="520" customWidth="1"/>
    <col min="13317" max="13566" width="9.1796875" style="520"/>
    <col min="13567" max="13567" width="6" style="520" customWidth="1"/>
    <col min="13568" max="13568" width="4.54296875" style="520" customWidth="1"/>
    <col min="13569" max="13569" width="50.1796875" style="520" customWidth="1"/>
    <col min="13570" max="13570" width="15.26953125" style="520" customWidth="1"/>
    <col min="13571" max="13571" width="15.26953125" style="520" bestFit="1" customWidth="1"/>
    <col min="13572" max="13572" width="7.1796875" style="520" customWidth="1"/>
    <col min="13573" max="13822" width="9.1796875" style="520"/>
    <col min="13823" max="13823" width="6" style="520" customWidth="1"/>
    <col min="13824" max="13824" width="4.54296875" style="520" customWidth="1"/>
    <col min="13825" max="13825" width="50.1796875" style="520" customWidth="1"/>
    <col min="13826" max="13826" width="15.26953125" style="520" customWidth="1"/>
    <col min="13827" max="13827" width="15.26953125" style="520" bestFit="1" customWidth="1"/>
    <col min="13828" max="13828" width="7.1796875" style="520" customWidth="1"/>
    <col min="13829" max="14078" width="9.1796875" style="520"/>
    <col min="14079" max="14079" width="6" style="520" customWidth="1"/>
    <col min="14080" max="14080" width="4.54296875" style="520" customWidth="1"/>
    <col min="14081" max="14081" width="50.1796875" style="520" customWidth="1"/>
    <col min="14082" max="14082" width="15.26953125" style="520" customWidth="1"/>
    <col min="14083" max="14083" width="15.26953125" style="520" bestFit="1" customWidth="1"/>
    <col min="14084" max="14084" width="7.1796875" style="520" customWidth="1"/>
    <col min="14085" max="14334" width="9.1796875" style="520"/>
    <col min="14335" max="14335" width="6" style="520" customWidth="1"/>
    <col min="14336" max="14336" width="4.54296875" style="520" customWidth="1"/>
    <col min="14337" max="14337" width="50.1796875" style="520" customWidth="1"/>
    <col min="14338" max="14338" width="15.26953125" style="520" customWidth="1"/>
    <col min="14339" max="14339" width="15.26953125" style="520" bestFit="1" customWidth="1"/>
    <col min="14340" max="14340" width="7.1796875" style="520" customWidth="1"/>
    <col min="14341" max="14590" width="9.1796875" style="520"/>
    <col min="14591" max="14591" width="6" style="520" customWidth="1"/>
    <col min="14592" max="14592" width="4.54296875" style="520" customWidth="1"/>
    <col min="14593" max="14593" width="50.1796875" style="520" customWidth="1"/>
    <col min="14594" max="14594" width="15.26953125" style="520" customWidth="1"/>
    <col min="14595" max="14595" width="15.26953125" style="520" bestFit="1" customWidth="1"/>
    <col min="14596" max="14596" width="7.1796875" style="520" customWidth="1"/>
    <col min="14597" max="14846" width="9.1796875" style="520"/>
    <col min="14847" max="14847" width="6" style="520" customWidth="1"/>
    <col min="14848" max="14848" width="4.54296875" style="520" customWidth="1"/>
    <col min="14849" max="14849" width="50.1796875" style="520" customWidth="1"/>
    <col min="14850" max="14850" width="15.26953125" style="520" customWidth="1"/>
    <col min="14851" max="14851" width="15.26953125" style="520" bestFit="1" customWidth="1"/>
    <col min="14852" max="14852" width="7.1796875" style="520" customWidth="1"/>
    <col min="14853" max="15102" width="9.1796875" style="520"/>
    <col min="15103" max="15103" width="6" style="520" customWidth="1"/>
    <col min="15104" max="15104" width="4.54296875" style="520" customWidth="1"/>
    <col min="15105" max="15105" width="50.1796875" style="520" customWidth="1"/>
    <col min="15106" max="15106" width="15.26953125" style="520" customWidth="1"/>
    <col min="15107" max="15107" width="15.26953125" style="520" bestFit="1" customWidth="1"/>
    <col min="15108" max="15108" width="7.1796875" style="520" customWidth="1"/>
    <col min="15109" max="15358" width="9.1796875" style="520"/>
    <col min="15359" max="15359" width="6" style="520" customWidth="1"/>
    <col min="15360" max="15360" width="4.54296875" style="520" customWidth="1"/>
    <col min="15361" max="15361" width="50.1796875" style="520" customWidth="1"/>
    <col min="15362" max="15362" width="15.26953125" style="520" customWidth="1"/>
    <col min="15363" max="15363" width="15.26953125" style="520" bestFit="1" customWidth="1"/>
    <col min="15364" max="15364" width="7.1796875" style="520" customWidth="1"/>
    <col min="15365" max="15614" width="9.1796875" style="520"/>
    <col min="15615" max="15615" width="6" style="520" customWidth="1"/>
    <col min="15616" max="15616" width="4.54296875" style="520" customWidth="1"/>
    <col min="15617" max="15617" width="50.1796875" style="520" customWidth="1"/>
    <col min="15618" max="15618" width="15.26953125" style="520" customWidth="1"/>
    <col min="15619" max="15619" width="15.26953125" style="520" bestFit="1" customWidth="1"/>
    <col min="15620" max="15620" width="7.1796875" style="520" customWidth="1"/>
    <col min="15621" max="15870" width="9.1796875" style="520"/>
    <col min="15871" max="15871" width="6" style="520" customWidth="1"/>
    <col min="15872" max="15872" width="4.54296875" style="520" customWidth="1"/>
    <col min="15873" max="15873" width="50.1796875" style="520" customWidth="1"/>
    <col min="15874" max="15874" width="15.26953125" style="520" customWidth="1"/>
    <col min="15875" max="15875" width="15.26953125" style="520" bestFit="1" customWidth="1"/>
    <col min="15876" max="15876" width="7.1796875" style="520" customWidth="1"/>
    <col min="15877" max="16126" width="9.1796875" style="520"/>
    <col min="16127" max="16127" width="6" style="520" customWidth="1"/>
    <col min="16128" max="16128" width="4.54296875" style="520" customWidth="1"/>
    <col min="16129" max="16129" width="50.1796875" style="520" customWidth="1"/>
    <col min="16130" max="16130" width="15.26953125" style="520" customWidth="1"/>
    <col min="16131" max="16131" width="15.26953125" style="520" bestFit="1" customWidth="1"/>
    <col min="16132" max="16132" width="7.1796875" style="520" customWidth="1"/>
    <col min="16133" max="16384" width="9.1796875" style="520"/>
  </cols>
  <sheetData>
    <row r="1" spans="1:4" s="510" customFormat="1" ht="15.5">
      <c r="D1" s="511" t="s">
        <v>196</v>
      </c>
    </row>
    <row r="2" spans="1:4" s="510" customFormat="1" ht="15.5">
      <c r="D2" s="511" t="s">
        <v>297</v>
      </c>
    </row>
    <row r="3" spans="1:4" s="501" customFormat="1" ht="15.5">
      <c r="A3" s="512" t="s">
        <v>299</v>
      </c>
      <c r="B3" s="512"/>
      <c r="C3" s="513"/>
      <c r="D3" s="514" t="s">
        <v>303</v>
      </c>
    </row>
    <row r="4" spans="1:4" s="501" customFormat="1" ht="15.5">
      <c r="A4" s="512"/>
      <c r="B4" s="512"/>
      <c r="C4" s="513"/>
      <c r="D4" s="515"/>
    </row>
    <row r="5" spans="1:4" s="510" customFormat="1" ht="15.75" customHeight="1">
      <c r="A5" s="516" t="s">
        <v>197</v>
      </c>
      <c r="B5" s="516"/>
      <c r="C5" s="517"/>
      <c r="D5" s="517"/>
    </row>
    <row r="6" spans="1:4" s="510" customFormat="1" ht="15.5">
      <c r="A6" s="516" t="s">
        <v>198</v>
      </c>
      <c r="B6" s="516"/>
      <c r="C6" s="518"/>
      <c r="D6" s="518"/>
    </row>
    <row r="7" spans="1:4">
      <c r="D7" s="521"/>
    </row>
    <row r="8" spans="1:4" s="526" customFormat="1" ht="16.149999999999999" customHeight="1">
      <c r="A8" s="522" t="s">
        <v>199</v>
      </c>
      <c r="B8" s="523"/>
      <c r="C8" s="524"/>
      <c r="D8" s="525" t="s">
        <v>200</v>
      </c>
    </row>
    <row r="9" spans="1:4" s="526" customFormat="1" ht="18.649999999999999" customHeight="1">
      <c r="A9" s="528" t="s">
        <v>202</v>
      </c>
      <c r="B9" s="529"/>
      <c r="C9" s="530" t="s">
        <v>203</v>
      </c>
      <c r="D9" s="531" t="s">
        <v>58</v>
      </c>
    </row>
    <row r="10" spans="1:4" s="536" customFormat="1" ht="15.5">
      <c r="A10" s="532"/>
      <c r="B10" s="533"/>
      <c r="C10" s="534"/>
      <c r="D10" s="535"/>
    </row>
    <row r="11" spans="1:4" s="542" customFormat="1" ht="23.5" customHeight="1">
      <c r="A11" s="537"/>
      <c r="B11" s="538" t="s">
        <v>205</v>
      </c>
      <c r="C11" s="539"/>
      <c r="D11" s="540">
        <f>+D12+D15+D16</f>
        <v>1550147</v>
      </c>
    </row>
    <row r="12" spans="1:4" s="510" customFormat="1" ht="20.5" customHeight="1">
      <c r="A12" s="543">
        <v>3500</v>
      </c>
      <c r="B12" s="544" t="s">
        <v>206</v>
      </c>
      <c r="C12" s="545"/>
      <c r="D12" s="546">
        <f>SUM(D13:D14)</f>
        <v>1550147</v>
      </c>
    </row>
    <row r="13" spans="1:4" s="687" customFormat="1" ht="42">
      <c r="A13" s="688"/>
      <c r="B13" s="684" t="s">
        <v>207</v>
      </c>
      <c r="C13" s="689" t="s">
        <v>296</v>
      </c>
      <c r="D13" s="686">
        <f>EELARVE2025_lahtikirjutus!E11</f>
        <v>1500000</v>
      </c>
    </row>
    <row r="14" spans="1:4" s="687" customFormat="1" ht="15.5">
      <c r="A14" s="688"/>
      <c r="B14" s="684" t="s">
        <v>207</v>
      </c>
      <c r="C14" s="689" t="s">
        <v>294</v>
      </c>
      <c r="D14" s="686">
        <f>EELARVE2025_lahtikirjutus!E13</f>
        <v>50147</v>
      </c>
    </row>
    <row r="15" spans="1:4" s="526" customFormat="1" ht="15.5">
      <c r="A15" s="552"/>
      <c r="B15" s="756"/>
      <c r="C15" s="757"/>
      <c r="D15" s="746"/>
    </row>
    <row r="16" spans="1:4" s="526" customFormat="1" ht="15.5">
      <c r="A16" s="552"/>
      <c r="B16" s="758"/>
      <c r="C16" s="759"/>
      <c r="D16" s="746"/>
    </row>
    <row r="17" spans="1:4" s="510" customFormat="1" ht="15.5">
      <c r="A17" s="553"/>
      <c r="B17" s="554"/>
      <c r="D17" s="555"/>
    </row>
    <row r="18" spans="1:4" s="542" customFormat="1" ht="21.65" customHeight="1">
      <c r="A18" s="556"/>
      <c r="B18" s="760" t="s">
        <v>211</v>
      </c>
      <c r="C18" s="761"/>
      <c r="D18" s="557">
        <f>D20+D23+D24+D27</f>
        <v>1566086.7</v>
      </c>
    </row>
    <row r="19" spans="1:4" s="559" customFormat="1" ht="18">
      <c r="A19" s="552">
        <v>4500</v>
      </c>
      <c r="B19" s="762" t="s">
        <v>288</v>
      </c>
      <c r="C19" s="763"/>
      <c r="D19" s="558"/>
    </row>
    <row r="20" spans="1:4" s="687" customFormat="1" ht="42">
      <c r="A20" s="683">
        <v>4500</v>
      </c>
      <c r="B20" s="684" t="s">
        <v>213</v>
      </c>
      <c r="C20" s="685" t="s">
        <v>287</v>
      </c>
      <c r="D20" s="747">
        <f>EELARVE2025_lahtikirjutus!E19</f>
        <v>1445459</v>
      </c>
    </row>
    <row r="21" spans="1:4" s="559" customFormat="1" ht="19.149999999999999" customHeight="1">
      <c r="A21" s="552">
        <v>5</v>
      </c>
      <c r="B21" s="562" t="s">
        <v>214</v>
      </c>
      <c r="C21" s="563"/>
      <c r="D21" s="746">
        <f>D22+D27</f>
        <v>120627.7</v>
      </c>
    </row>
    <row r="22" spans="1:4" s="510" customFormat="1" ht="17.5" customHeight="1">
      <c r="A22" s="552">
        <v>50</v>
      </c>
      <c r="B22" s="564" t="s">
        <v>215</v>
      </c>
      <c r="C22" s="565"/>
      <c r="D22" s="746">
        <f>D23+D24</f>
        <v>89940.7</v>
      </c>
    </row>
    <row r="23" spans="1:4" s="510" customFormat="1" ht="15.65" customHeight="1">
      <c r="A23" s="552">
        <v>500</v>
      </c>
      <c r="B23" s="564" t="s">
        <v>216</v>
      </c>
      <c r="C23" s="565"/>
      <c r="D23" s="746">
        <f>EELARVE2025_lahtikirjutus!E23</f>
        <v>66400</v>
      </c>
    </row>
    <row r="24" spans="1:4" s="526" customFormat="1" ht="16.149999999999999" customHeight="1">
      <c r="A24" s="552">
        <v>506</v>
      </c>
      <c r="B24" s="756" t="s">
        <v>217</v>
      </c>
      <c r="C24" s="757"/>
      <c r="D24" s="546">
        <f>EELARVE2025_lahtikirjutus!E26</f>
        <v>23540.7</v>
      </c>
    </row>
    <row r="25" spans="1:4" s="510" customFormat="1" ht="13.9" customHeight="1">
      <c r="A25" s="560"/>
      <c r="B25" s="566" t="s">
        <v>207</v>
      </c>
      <c r="C25" s="567" t="s">
        <v>218</v>
      </c>
      <c r="D25" s="748">
        <f>EELARVE2025_lahtikirjutus!E27</f>
        <v>21912</v>
      </c>
    </row>
    <row r="26" spans="1:4" s="510" customFormat="1" ht="15.5">
      <c r="A26" s="560"/>
      <c r="B26" s="568"/>
      <c r="C26" s="567" t="s">
        <v>219</v>
      </c>
      <c r="D26" s="748">
        <f>EELARVE2025_lahtikirjutus!E28</f>
        <v>1628.7</v>
      </c>
    </row>
    <row r="27" spans="1:4" s="510" customFormat="1" ht="15.5">
      <c r="A27" s="552">
        <v>55</v>
      </c>
      <c r="B27" s="756" t="s">
        <v>220</v>
      </c>
      <c r="C27" s="757"/>
      <c r="D27" s="746">
        <f>EELARVE2025_lahtikirjutus!E29</f>
        <v>30687</v>
      </c>
    </row>
    <row r="28" spans="1:4" s="510" customFormat="1" ht="16" thickBot="1">
      <c r="A28" s="718"/>
      <c r="B28" s="719"/>
      <c r="C28" s="719"/>
      <c r="D28" s="720"/>
    </row>
    <row r="29" spans="1:4" s="510" customFormat="1" ht="15.65" customHeight="1" thickBot="1">
      <c r="A29" s="725" t="s">
        <v>221</v>
      </c>
      <c r="B29" s="755" t="s">
        <v>302</v>
      </c>
      <c r="C29" s="755"/>
      <c r="D29" s="726">
        <f>+D11-D18</f>
        <v>-15939.699999999953</v>
      </c>
    </row>
    <row r="30" spans="1:4" s="510" customFormat="1" ht="15.5">
      <c r="A30" s="721"/>
      <c r="B30" s="722"/>
      <c r="C30" s="723"/>
      <c r="D30" s="724"/>
    </row>
    <row r="31" spans="1:4" s="501" customFormat="1">
      <c r="A31" s="574"/>
      <c r="B31" s="575"/>
      <c r="D31" s="576"/>
    </row>
    <row r="32" spans="1:4" s="501" customFormat="1">
      <c r="A32" s="574"/>
      <c r="D32" s="576"/>
    </row>
    <row r="33" spans="1:4" s="501" customFormat="1">
      <c r="A33" s="574"/>
      <c r="D33" s="577"/>
    </row>
    <row r="34" spans="1:4" s="501" customFormat="1">
      <c r="A34" s="574"/>
      <c r="B34" s="575"/>
      <c r="D34" s="578"/>
    </row>
    <row r="35" spans="1:4" s="501" customFormat="1">
      <c r="A35" s="574"/>
      <c r="B35" s="501" t="s">
        <v>281</v>
      </c>
      <c r="D35" s="578"/>
    </row>
    <row r="36" spans="1:4" s="501" customFormat="1">
      <c r="A36" s="574"/>
      <c r="B36" s="501" t="s">
        <v>190</v>
      </c>
      <c r="D36" s="578"/>
    </row>
    <row r="37" spans="1:4" s="501" customFormat="1">
      <c r="A37" s="574"/>
      <c r="B37" s="575"/>
      <c r="D37" s="578"/>
    </row>
    <row r="38" spans="1:4" s="501" customFormat="1">
      <c r="A38" s="574"/>
      <c r="B38" s="575"/>
      <c r="D38" s="578"/>
    </row>
    <row r="39" spans="1:4" s="501" customFormat="1">
      <c r="A39" s="574"/>
      <c r="B39" s="575"/>
      <c r="D39" s="578"/>
    </row>
    <row r="40" spans="1:4" s="501" customFormat="1">
      <c r="A40" s="574"/>
      <c r="B40" s="575"/>
      <c r="D40" s="578"/>
    </row>
    <row r="41" spans="1:4" s="501" customFormat="1">
      <c r="A41" s="574"/>
      <c r="B41" s="575"/>
      <c r="D41" s="578"/>
    </row>
    <row r="42" spans="1:4" s="501" customFormat="1">
      <c r="A42" s="519"/>
      <c r="B42" s="579"/>
      <c r="D42" s="578"/>
    </row>
    <row r="43" spans="1:4" s="501" customFormat="1">
      <c r="A43" s="519"/>
      <c r="B43" s="579"/>
      <c r="D43" s="578"/>
    </row>
    <row r="44" spans="1:4" s="501" customFormat="1">
      <c r="A44" s="519"/>
      <c r="B44" s="579"/>
      <c r="D44" s="578"/>
    </row>
    <row r="45" spans="1:4" s="501" customFormat="1">
      <c r="A45" s="519"/>
      <c r="B45" s="579"/>
      <c r="D45" s="578"/>
    </row>
    <row r="46" spans="1:4" s="501" customFormat="1">
      <c r="A46" s="519"/>
      <c r="B46" s="579"/>
      <c r="D46" s="578"/>
    </row>
    <row r="47" spans="1:4" s="501" customFormat="1">
      <c r="A47" s="519"/>
      <c r="B47" s="579"/>
      <c r="D47" s="578"/>
    </row>
    <row r="48" spans="1:4" s="501" customFormat="1">
      <c r="A48" s="519"/>
      <c r="B48" s="579"/>
      <c r="D48" s="578"/>
    </row>
    <row r="49" spans="1:4" s="501" customFormat="1">
      <c r="A49" s="519"/>
      <c r="B49" s="579"/>
      <c r="D49" s="578"/>
    </row>
    <row r="50" spans="1:4" s="501" customFormat="1">
      <c r="A50" s="519"/>
      <c r="B50" s="579"/>
      <c r="D50" s="578"/>
    </row>
    <row r="51" spans="1:4" s="501" customFormat="1">
      <c r="A51" s="519"/>
      <c r="B51" s="579"/>
      <c r="D51" s="578"/>
    </row>
    <row r="52" spans="1:4" s="501" customFormat="1">
      <c r="A52" s="519"/>
      <c r="B52" s="579"/>
      <c r="D52" s="578"/>
    </row>
    <row r="53" spans="1:4" s="501" customFormat="1">
      <c r="A53" s="519"/>
      <c r="B53" s="579"/>
      <c r="D53" s="578"/>
    </row>
    <row r="54" spans="1:4" s="501" customFormat="1">
      <c r="A54" s="519"/>
      <c r="B54" s="579"/>
      <c r="D54" s="578"/>
    </row>
    <row r="55" spans="1:4" s="501" customFormat="1">
      <c r="A55" s="519"/>
      <c r="B55" s="579"/>
      <c r="D55" s="578"/>
    </row>
    <row r="56" spans="1:4" s="501" customFormat="1">
      <c r="A56" s="519"/>
      <c r="B56" s="579"/>
      <c r="D56" s="578"/>
    </row>
    <row r="57" spans="1:4" s="501" customFormat="1">
      <c r="A57" s="519"/>
      <c r="B57" s="579"/>
      <c r="D57" s="578"/>
    </row>
    <row r="58" spans="1:4" s="501" customFormat="1">
      <c r="A58" s="519"/>
      <c r="B58" s="579"/>
      <c r="D58" s="578"/>
    </row>
    <row r="59" spans="1:4" s="501" customFormat="1">
      <c r="A59" s="519"/>
      <c r="B59" s="579"/>
      <c r="D59" s="578"/>
    </row>
    <row r="60" spans="1:4" s="501" customFormat="1">
      <c r="A60" s="519"/>
      <c r="B60" s="579"/>
      <c r="D60" s="578"/>
    </row>
    <row r="61" spans="1:4" s="501" customFormat="1">
      <c r="A61" s="519"/>
      <c r="B61" s="579"/>
      <c r="D61" s="578"/>
    </row>
    <row r="62" spans="1:4" s="501" customFormat="1">
      <c r="A62" s="519"/>
      <c r="B62" s="579"/>
      <c r="D62" s="578"/>
    </row>
    <row r="63" spans="1:4" s="501" customFormat="1">
      <c r="A63" s="519"/>
      <c r="B63" s="579"/>
      <c r="D63" s="578"/>
    </row>
    <row r="64" spans="1:4" s="501" customFormat="1">
      <c r="A64" s="519"/>
      <c r="B64" s="579"/>
      <c r="D64" s="578"/>
    </row>
    <row r="65" spans="1:4" s="501" customFormat="1">
      <c r="A65" s="519"/>
      <c r="B65" s="579"/>
      <c r="D65" s="578"/>
    </row>
    <row r="66" spans="1:4" s="501" customFormat="1">
      <c r="A66" s="519"/>
      <c r="B66" s="579"/>
      <c r="D66" s="578"/>
    </row>
    <row r="67" spans="1:4" s="501" customFormat="1">
      <c r="A67" s="519"/>
      <c r="B67" s="579"/>
      <c r="D67" s="578"/>
    </row>
    <row r="68" spans="1:4" s="501" customFormat="1">
      <c r="A68" s="519"/>
      <c r="B68" s="579"/>
      <c r="D68" s="578"/>
    </row>
    <row r="69" spans="1:4" s="501" customFormat="1">
      <c r="A69" s="519"/>
      <c r="B69" s="579"/>
      <c r="D69" s="578"/>
    </row>
    <row r="70" spans="1:4" s="501" customFormat="1">
      <c r="A70" s="519"/>
      <c r="B70" s="579"/>
      <c r="D70" s="578"/>
    </row>
    <row r="71" spans="1:4" s="501" customFormat="1">
      <c r="A71" s="519"/>
      <c r="B71" s="579"/>
      <c r="D71" s="578"/>
    </row>
    <row r="72" spans="1:4" s="501" customFormat="1">
      <c r="A72" s="519"/>
      <c r="B72" s="579"/>
      <c r="D72" s="578"/>
    </row>
    <row r="73" spans="1:4" s="501" customFormat="1">
      <c r="A73" s="519"/>
      <c r="B73" s="579"/>
      <c r="D73" s="578"/>
    </row>
    <row r="74" spans="1:4" s="501" customFormat="1">
      <c r="A74" s="519"/>
      <c r="B74" s="579"/>
      <c r="D74" s="578"/>
    </row>
    <row r="75" spans="1:4" s="501" customFormat="1">
      <c r="A75" s="519"/>
      <c r="B75" s="579"/>
      <c r="D75" s="578"/>
    </row>
    <row r="76" spans="1:4" s="501" customFormat="1">
      <c r="A76" s="519"/>
      <c r="B76" s="579"/>
      <c r="D76" s="578"/>
    </row>
    <row r="77" spans="1:4" s="501" customFormat="1">
      <c r="A77" s="519"/>
      <c r="B77" s="579"/>
      <c r="D77" s="578"/>
    </row>
    <row r="78" spans="1:4" s="501" customFormat="1">
      <c r="A78" s="519"/>
      <c r="B78" s="579"/>
      <c r="D78" s="578"/>
    </row>
    <row r="79" spans="1:4" s="501" customFormat="1">
      <c r="A79" s="519"/>
      <c r="B79" s="579"/>
      <c r="D79" s="578"/>
    </row>
    <row r="80" spans="1:4" s="501" customFormat="1">
      <c r="A80" s="519"/>
      <c r="B80" s="579"/>
      <c r="D80" s="576"/>
    </row>
    <row r="81" spans="1:4" s="501" customFormat="1">
      <c r="A81" s="519"/>
      <c r="B81" s="579"/>
      <c r="D81" s="576"/>
    </row>
    <row r="82" spans="1:4" s="501" customFormat="1" ht="12.5">
      <c r="A82" s="579"/>
      <c r="B82" s="579"/>
      <c r="D82" s="576"/>
    </row>
    <row r="83" spans="1:4" s="501" customFormat="1" ht="12.5">
      <c r="A83" s="579"/>
      <c r="B83" s="579"/>
      <c r="D83" s="576"/>
    </row>
    <row r="84" spans="1:4" s="501" customFormat="1" ht="12.5">
      <c r="A84" s="579"/>
      <c r="B84" s="579"/>
      <c r="D84" s="576"/>
    </row>
    <row r="85" spans="1:4" s="501" customFormat="1" ht="12.5">
      <c r="A85" s="579"/>
      <c r="B85" s="579"/>
      <c r="D85" s="576"/>
    </row>
    <row r="86" spans="1:4" s="501" customFormat="1" ht="12.5">
      <c r="A86" s="579"/>
      <c r="B86" s="579"/>
      <c r="D86" s="576"/>
    </row>
    <row r="87" spans="1:4" s="501" customFormat="1" ht="12.5">
      <c r="A87" s="579"/>
      <c r="B87" s="579"/>
      <c r="D87" s="576"/>
    </row>
    <row r="88" spans="1:4" s="501" customFormat="1" ht="12.5">
      <c r="A88" s="579"/>
      <c r="B88" s="579"/>
      <c r="D88" s="576"/>
    </row>
    <row r="89" spans="1:4" s="501" customFormat="1" ht="12.5">
      <c r="A89" s="579"/>
      <c r="B89" s="579"/>
      <c r="D89" s="576"/>
    </row>
    <row r="90" spans="1:4" s="501" customFormat="1" ht="12.5">
      <c r="A90" s="579"/>
      <c r="B90" s="579"/>
      <c r="D90" s="576"/>
    </row>
    <row r="91" spans="1:4" s="501" customFormat="1" ht="12.5">
      <c r="A91" s="579"/>
      <c r="B91" s="579"/>
      <c r="D91" s="576"/>
    </row>
    <row r="92" spans="1:4" s="501" customFormat="1" ht="12.5">
      <c r="A92" s="579"/>
      <c r="B92" s="579"/>
      <c r="D92" s="576"/>
    </row>
    <row r="93" spans="1:4" s="501" customFormat="1" ht="12.5">
      <c r="A93" s="579"/>
      <c r="B93" s="579"/>
      <c r="D93" s="576"/>
    </row>
    <row r="94" spans="1:4" s="501" customFormat="1" ht="12.5">
      <c r="A94" s="579"/>
      <c r="B94" s="579"/>
      <c r="D94" s="576"/>
    </row>
    <row r="95" spans="1:4" s="501" customFormat="1" ht="12.5">
      <c r="A95" s="579"/>
      <c r="B95" s="579"/>
      <c r="D95" s="576"/>
    </row>
    <row r="96" spans="1:4" s="501" customFormat="1" ht="12.5">
      <c r="A96" s="579"/>
      <c r="B96" s="579"/>
      <c r="D96" s="576"/>
    </row>
    <row r="97" spans="1:4" s="501" customFormat="1" ht="12.5">
      <c r="A97" s="579"/>
      <c r="B97" s="579"/>
      <c r="D97" s="576"/>
    </row>
    <row r="98" spans="1:4" s="501" customFormat="1" ht="12.5">
      <c r="A98" s="579"/>
      <c r="B98" s="579"/>
      <c r="D98" s="576"/>
    </row>
    <row r="99" spans="1:4" s="501" customFormat="1" ht="12.5">
      <c r="A99" s="579"/>
      <c r="B99" s="579"/>
      <c r="D99" s="576"/>
    </row>
    <row r="100" spans="1:4" s="501" customFormat="1" ht="12.5">
      <c r="A100" s="579"/>
      <c r="B100" s="579"/>
      <c r="D100" s="576"/>
    </row>
    <row r="101" spans="1:4" s="501" customFormat="1" ht="12.5">
      <c r="A101" s="579"/>
      <c r="B101" s="579"/>
      <c r="D101" s="576"/>
    </row>
    <row r="102" spans="1:4" s="501" customFormat="1" ht="12.5">
      <c r="A102" s="579"/>
      <c r="B102" s="579"/>
      <c r="D102" s="576"/>
    </row>
    <row r="103" spans="1:4" s="501" customFormat="1" ht="12.5">
      <c r="A103" s="579"/>
      <c r="B103" s="579"/>
      <c r="D103" s="576"/>
    </row>
    <row r="104" spans="1:4" s="501" customFormat="1" ht="12.5">
      <c r="A104" s="579"/>
      <c r="B104" s="579"/>
      <c r="D104" s="576"/>
    </row>
    <row r="105" spans="1:4" s="501" customFormat="1" ht="12.5">
      <c r="A105" s="579"/>
      <c r="B105" s="579"/>
      <c r="D105" s="576"/>
    </row>
    <row r="106" spans="1:4" s="501" customFormat="1" ht="12.5">
      <c r="A106" s="579"/>
      <c r="B106" s="579"/>
      <c r="D106" s="576"/>
    </row>
    <row r="107" spans="1:4" s="501" customFormat="1" ht="12.5">
      <c r="A107" s="579"/>
      <c r="B107" s="579"/>
      <c r="D107" s="576"/>
    </row>
    <row r="108" spans="1:4" s="501" customFormat="1" ht="12.5">
      <c r="A108" s="579"/>
      <c r="B108" s="579"/>
      <c r="D108" s="576"/>
    </row>
    <row r="109" spans="1:4" s="501" customFormat="1" ht="12.5">
      <c r="A109" s="579"/>
      <c r="B109" s="579"/>
      <c r="D109" s="576"/>
    </row>
    <row r="110" spans="1:4" s="501" customFormat="1" ht="12.5">
      <c r="A110" s="579"/>
      <c r="B110" s="579"/>
      <c r="D110" s="576"/>
    </row>
    <row r="111" spans="1:4" s="501" customFormat="1" ht="12.5">
      <c r="A111" s="579"/>
      <c r="B111" s="579"/>
      <c r="D111" s="576"/>
    </row>
    <row r="112" spans="1:4" s="501" customFormat="1" ht="12.5">
      <c r="A112" s="579"/>
      <c r="B112" s="579"/>
      <c r="D112" s="576"/>
    </row>
    <row r="113" spans="1:4" s="501" customFormat="1" ht="12.5">
      <c r="A113" s="579"/>
      <c r="B113" s="579"/>
      <c r="D113" s="576"/>
    </row>
    <row r="114" spans="1:4" s="501" customFormat="1" ht="12.5">
      <c r="A114" s="579"/>
      <c r="B114" s="579"/>
      <c r="D114" s="576"/>
    </row>
    <row r="115" spans="1:4" s="501" customFormat="1" ht="12.5">
      <c r="A115" s="579"/>
      <c r="B115" s="579"/>
      <c r="D115" s="576"/>
    </row>
    <row r="116" spans="1:4" s="501" customFormat="1" ht="12.5">
      <c r="A116" s="579"/>
      <c r="B116" s="579"/>
      <c r="D116" s="576"/>
    </row>
    <row r="117" spans="1:4" s="501" customFormat="1" ht="12.5">
      <c r="A117" s="579"/>
      <c r="B117" s="579"/>
      <c r="D117" s="576"/>
    </row>
    <row r="118" spans="1:4" s="501" customFormat="1" ht="12.5">
      <c r="A118" s="579"/>
      <c r="B118" s="579"/>
      <c r="D118" s="576"/>
    </row>
    <row r="119" spans="1:4" s="501" customFormat="1" ht="12.5">
      <c r="A119" s="579"/>
      <c r="B119" s="579"/>
      <c r="D119" s="576"/>
    </row>
    <row r="120" spans="1:4" s="501" customFormat="1" ht="12.5">
      <c r="A120" s="579"/>
      <c r="B120" s="579"/>
      <c r="D120" s="576"/>
    </row>
    <row r="121" spans="1:4" s="501" customFormat="1" ht="12.5">
      <c r="A121" s="579"/>
      <c r="B121" s="579"/>
      <c r="D121" s="576"/>
    </row>
    <row r="122" spans="1:4" s="501" customFormat="1" ht="12.5">
      <c r="A122" s="579"/>
      <c r="B122" s="579"/>
      <c r="D122" s="576"/>
    </row>
    <row r="123" spans="1:4" s="501" customFormat="1" ht="12.5">
      <c r="A123" s="579"/>
      <c r="B123" s="579"/>
      <c r="D123" s="576"/>
    </row>
    <row r="124" spans="1:4" s="501" customFormat="1" ht="12.5">
      <c r="A124" s="579"/>
      <c r="B124" s="579"/>
      <c r="D124" s="576"/>
    </row>
    <row r="125" spans="1:4" s="501" customFormat="1" ht="12.5">
      <c r="A125" s="579"/>
      <c r="B125" s="579"/>
      <c r="D125" s="576"/>
    </row>
    <row r="126" spans="1:4" s="501" customFormat="1" ht="12.5">
      <c r="A126" s="579"/>
      <c r="B126" s="579"/>
      <c r="D126" s="576"/>
    </row>
    <row r="127" spans="1:4" s="501" customFormat="1" ht="12.5">
      <c r="A127" s="579"/>
      <c r="B127" s="579"/>
      <c r="D127" s="576"/>
    </row>
    <row r="128" spans="1:4" s="501" customFormat="1" ht="12.5">
      <c r="A128" s="579"/>
      <c r="B128" s="579"/>
      <c r="D128" s="576"/>
    </row>
    <row r="129" spans="1:4" s="501" customFormat="1" ht="12.5">
      <c r="A129" s="579"/>
      <c r="B129" s="579"/>
      <c r="D129" s="576"/>
    </row>
    <row r="130" spans="1:4" s="501" customFormat="1" ht="12.5">
      <c r="A130" s="579"/>
      <c r="B130" s="579"/>
      <c r="D130" s="576"/>
    </row>
    <row r="131" spans="1:4" s="501" customFormat="1" ht="12.5">
      <c r="A131" s="579"/>
      <c r="B131" s="579"/>
      <c r="D131" s="576"/>
    </row>
    <row r="132" spans="1:4" s="501" customFormat="1" ht="12.5">
      <c r="A132" s="579"/>
      <c r="B132" s="579"/>
      <c r="D132" s="576"/>
    </row>
    <row r="133" spans="1:4" s="501" customFormat="1" ht="12.5">
      <c r="A133" s="579"/>
      <c r="B133" s="579"/>
      <c r="D133" s="576"/>
    </row>
    <row r="134" spans="1:4" s="501" customFormat="1" ht="12.5">
      <c r="A134" s="579"/>
      <c r="B134" s="579"/>
      <c r="D134" s="576"/>
    </row>
    <row r="135" spans="1:4" s="501" customFormat="1" ht="12.5">
      <c r="A135" s="579"/>
      <c r="B135" s="579"/>
      <c r="D135" s="576"/>
    </row>
    <row r="136" spans="1:4" s="501" customFormat="1" ht="12.5">
      <c r="A136" s="579"/>
      <c r="B136" s="579"/>
      <c r="D136" s="576"/>
    </row>
    <row r="137" spans="1:4" s="501" customFormat="1" ht="12.5">
      <c r="A137" s="579"/>
      <c r="B137" s="579"/>
      <c r="D137" s="576"/>
    </row>
    <row r="138" spans="1:4" s="501" customFormat="1" ht="12.5">
      <c r="A138" s="579"/>
      <c r="B138" s="579"/>
      <c r="D138" s="576"/>
    </row>
    <row r="139" spans="1:4" s="501" customFormat="1" ht="12.5">
      <c r="A139" s="579"/>
      <c r="B139" s="579"/>
      <c r="D139" s="576"/>
    </row>
    <row r="140" spans="1:4" s="501" customFormat="1" ht="12.5">
      <c r="A140" s="579"/>
      <c r="B140" s="579"/>
      <c r="D140" s="576"/>
    </row>
    <row r="141" spans="1:4" s="501" customFormat="1" ht="12.5">
      <c r="A141" s="579"/>
      <c r="B141" s="579"/>
      <c r="D141" s="576"/>
    </row>
    <row r="142" spans="1:4" s="501" customFormat="1" ht="12.5">
      <c r="A142" s="579"/>
      <c r="B142" s="579"/>
      <c r="D142" s="576"/>
    </row>
    <row r="143" spans="1:4" s="501" customFormat="1" ht="12.5">
      <c r="A143" s="579"/>
      <c r="B143" s="579"/>
      <c r="D143" s="576"/>
    </row>
    <row r="144" spans="1:4" s="501" customFormat="1" ht="12.5">
      <c r="A144" s="579"/>
      <c r="B144" s="579"/>
      <c r="D144" s="576"/>
    </row>
    <row r="145" spans="1:4" s="501" customFormat="1" ht="12.5">
      <c r="A145" s="579"/>
      <c r="B145" s="579"/>
      <c r="D145" s="576"/>
    </row>
    <row r="146" spans="1:4" s="501" customFormat="1" ht="12.5">
      <c r="A146" s="579"/>
      <c r="B146" s="579"/>
      <c r="D146" s="576"/>
    </row>
    <row r="147" spans="1:4" s="501" customFormat="1" ht="12.5">
      <c r="A147" s="579"/>
      <c r="B147" s="579"/>
      <c r="D147" s="576"/>
    </row>
    <row r="148" spans="1:4" s="501" customFormat="1" ht="12.5">
      <c r="A148" s="579"/>
      <c r="B148" s="579"/>
      <c r="D148" s="576"/>
    </row>
    <row r="149" spans="1:4" s="501" customFormat="1" ht="12.5">
      <c r="A149" s="579"/>
      <c r="B149" s="579"/>
      <c r="D149" s="576"/>
    </row>
    <row r="150" spans="1:4" s="501" customFormat="1" ht="12.5">
      <c r="A150" s="579"/>
      <c r="B150" s="579"/>
      <c r="D150" s="576"/>
    </row>
    <row r="151" spans="1:4" s="501" customFormat="1" ht="12.5">
      <c r="A151" s="579"/>
      <c r="B151" s="579"/>
      <c r="D151" s="576"/>
    </row>
    <row r="152" spans="1:4" s="501" customFormat="1" ht="12.5">
      <c r="A152" s="579"/>
      <c r="B152" s="579"/>
      <c r="D152" s="576"/>
    </row>
    <row r="153" spans="1:4" s="501" customFormat="1" ht="12.5">
      <c r="A153" s="579"/>
      <c r="B153" s="579"/>
      <c r="D153" s="576"/>
    </row>
    <row r="154" spans="1:4" s="501" customFormat="1" ht="12.5">
      <c r="A154" s="579"/>
      <c r="B154" s="579"/>
      <c r="D154" s="576"/>
    </row>
    <row r="155" spans="1:4" s="501" customFormat="1" ht="12.5">
      <c r="A155" s="579"/>
      <c r="B155" s="579"/>
      <c r="D155" s="576"/>
    </row>
    <row r="156" spans="1:4" s="501" customFormat="1" ht="12.5">
      <c r="A156" s="579"/>
      <c r="B156" s="579"/>
      <c r="D156" s="576"/>
    </row>
    <row r="157" spans="1:4" s="501" customFormat="1" ht="12.5">
      <c r="A157" s="579"/>
      <c r="B157" s="579"/>
      <c r="D157" s="576"/>
    </row>
    <row r="158" spans="1:4" s="501" customFormat="1" ht="12.5">
      <c r="A158" s="579"/>
      <c r="B158" s="579"/>
      <c r="D158" s="576"/>
    </row>
    <row r="159" spans="1:4" s="501" customFormat="1" ht="12.5">
      <c r="A159" s="579"/>
      <c r="B159" s="579"/>
      <c r="D159" s="576"/>
    </row>
    <row r="160" spans="1:4" s="501" customFormat="1" ht="12.5">
      <c r="A160" s="579"/>
      <c r="B160" s="579"/>
      <c r="D160" s="576"/>
    </row>
    <row r="161" spans="1:4" s="501" customFormat="1" ht="12.5">
      <c r="A161" s="579"/>
      <c r="B161" s="579"/>
      <c r="D161" s="576"/>
    </row>
    <row r="162" spans="1:4" s="501" customFormat="1" ht="12.5">
      <c r="A162" s="579"/>
      <c r="B162" s="579"/>
      <c r="D162" s="576"/>
    </row>
    <row r="163" spans="1:4" s="501" customFormat="1" ht="12.5">
      <c r="A163" s="579"/>
      <c r="B163" s="579"/>
      <c r="D163" s="576"/>
    </row>
    <row r="164" spans="1:4" s="501" customFormat="1" ht="12.5">
      <c r="A164" s="579"/>
      <c r="B164" s="579"/>
      <c r="D164" s="576"/>
    </row>
    <row r="165" spans="1:4" s="501" customFormat="1" ht="12.5">
      <c r="A165" s="579"/>
      <c r="B165" s="579"/>
      <c r="D165" s="576"/>
    </row>
    <row r="166" spans="1:4" s="501" customFormat="1" ht="12.5">
      <c r="A166" s="579"/>
      <c r="B166" s="579"/>
      <c r="D166" s="576"/>
    </row>
    <row r="167" spans="1:4" s="501" customFormat="1" ht="12.5">
      <c r="A167" s="579"/>
      <c r="B167" s="579"/>
      <c r="D167" s="576"/>
    </row>
    <row r="168" spans="1:4" s="501" customFormat="1" ht="12.5">
      <c r="A168" s="579"/>
      <c r="B168" s="579"/>
      <c r="D168" s="576"/>
    </row>
    <row r="169" spans="1:4" s="501" customFormat="1" ht="12.5">
      <c r="A169" s="579"/>
      <c r="B169" s="579"/>
      <c r="D169" s="576"/>
    </row>
    <row r="170" spans="1:4" s="501" customFormat="1" ht="12.5">
      <c r="A170" s="579"/>
      <c r="B170" s="579"/>
      <c r="D170" s="576"/>
    </row>
    <row r="171" spans="1:4" s="501" customFormat="1" ht="12.5">
      <c r="A171" s="579"/>
      <c r="B171" s="579"/>
      <c r="D171" s="576"/>
    </row>
    <row r="172" spans="1:4" s="501" customFormat="1" ht="12.5">
      <c r="A172" s="579"/>
      <c r="B172" s="579"/>
      <c r="D172" s="576"/>
    </row>
    <row r="173" spans="1:4" s="501" customFormat="1" ht="12.5">
      <c r="A173" s="579"/>
      <c r="B173" s="579"/>
      <c r="D173" s="576"/>
    </row>
    <row r="174" spans="1:4" s="501" customFormat="1" ht="12.5">
      <c r="A174" s="579"/>
      <c r="B174" s="579"/>
      <c r="D174" s="576"/>
    </row>
    <row r="175" spans="1:4" s="501" customFormat="1" ht="12.5">
      <c r="A175" s="579"/>
      <c r="B175" s="579"/>
      <c r="D175" s="576"/>
    </row>
    <row r="176" spans="1:4" s="501" customFormat="1" ht="12.5">
      <c r="A176" s="579"/>
      <c r="B176" s="579"/>
      <c r="D176" s="576"/>
    </row>
    <row r="177" spans="1:4" s="501" customFormat="1" ht="12.5">
      <c r="A177" s="579"/>
      <c r="B177" s="579"/>
      <c r="D177" s="576"/>
    </row>
    <row r="178" spans="1:4" s="501" customFormat="1" ht="12.5">
      <c r="A178" s="579"/>
      <c r="B178" s="579"/>
      <c r="D178" s="576"/>
    </row>
    <row r="179" spans="1:4" s="501" customFormat="1" ht="12.5">
      <c r="A179" s="579"/>
      <c r="B179" s="579"/>
      <c r="D179" s="576"/>
    </row>
    <row r="180" spans="1:4" s="501" customFormat="1" ht="12.5">
      <c r="A180" s="579"/>
      <c r="B180" s="579"/>
      <c r="D180" s="576"/>
    </row>
    <row r="181" spans="1:4" s="501" customFormat="1" ht="12.5">
      <c r="A181" s="579"/>
      <c r="B181" s="579"/>
      <c r="D181" s="576"/>
    </row>
    <row r="182" spans="1:4" s="501" customFormat="1" ht="12.5">
      <c r="A182" s="579"/>
      <c r="B182" s="579"/>
      <c r="D182" s="576"/>
    </row>
    <row r="183" spans="1:4" s="501" customFormat="1" ht="12.5">
      <c r="A183" s="579"/>
      <c r="B183" s="579"/>
      <c r="D183" s="576"/>
    </row>
    <row r="184" spans="1:4" s="501" customFormat="1" ht="12.5">
      <c r="A184" s="579"/>
      <c r="B184" s="579"/>
      <c r="D184" s="576"/>
    </row>
    <row r="185" spans="1:4" s="501" customFormat="1" ht="12.5">
      <c r="A185" s="579"/>
      <c r="B185" s="579"/>
      <c r="D185" s="576"/>
    </row>
    <row r="186" spans="1:4" s="501" customFormat="1" ht="12.5">
      <c r="A186" s="579"/>
      <c r="B186" s="579"/>
      <c r="D186" s="576"/>
    </row>
    <row r="187" spans="1:4" s="501" customFormat="1" ht="12.5">
      <c r="A187" s="579"/>
      <c r="B187" s="579"/>
      <c r="D187" s="576"/>
    </row>
    <row r="188" spans="1:4" s="501" customFormat="1" ht="12.5">
      <c r="A188" s="579"/>
      <c r="B188" s="579"/>
      <c r="D188" s="576"/>
    </row>
    <row r="189" spans="1:4" s="501" customFormat="1" ht="12.5">
      <c r="A189" s="579"/>
      <c r="B189" s="579"/>
      <c r="D189" s="576"/>
    </row>
    <row r="190" spans="1:4" s="501" customFormat="1" ht="12.5">
      <c r="A190" s="579"/>
      <c r="B190" s="579"/>
      <c r="D190" s="576"/>
    </row>
    <row r="191" spans="1:4" s="501" customFormat="1" ht="12.5">
      <c r="A191" s="579"/>
      <c r="B191" s="579"/>
      <c r="D191" s="576"/>
    </row>
    <row r="192" spans="1:4" s="501" customFormat="1" ht="12.5">
      <c r="A192" s="579"/>
      <c r="B192" s="579"/>
      <c r="D192" s="576"/>
    </row>
    <row r="193" spans="1:4" s="501" customFormat="1" ht="12.5">
      <c r="A193" s="579"/>
      <c r="B193" s="579"/>
      <c r="D193" s="576"/>
    </row>
    <row r="194" spans="1:4" s="501" customFormat="1" ht="12.5">
      <c r="A194" s="579"/>
      <c r="B194" s="579"/>
      <c r="D194" s="576"/>
    </row>
    <row r="195" spans="1:4" s="501" customFormat="1" ht="12.5">
      <c r="A195" s="579"/>
      <c r="B195" s="579"/>
      <c r="D195" s="576"/>
    </row>
    <row r="196" spans="1:4" s="501" customFormat="1" ht="12.5">
      <c r="A196" s="579"/>
      <c r="B196" s="579"/>
      <c r="D196" s="576"/>
    </row>
    <row r="197" spans="1:4" s="501" customFormat="1" ht="12.5">
      <c r="A197" s="579"/>
      <c r="B197" s="579"/>
      <c r="D197" s="576"/>
    </row>
    <row r="198" spans="1:4" s="501" customFormat="1" ht="12.5">
      <c r="A198" s="579"/>
      <c r="B198" s="579"/>
      <c r="D198" s="576"/>
    </row>
    <row r="199" spans="1:4" s="501" customFormat="1" ht="12.5">
      <c r="A199" s="579"/>
      <c r="B199" s="579"/>
      <c r="D199" s="576"/>
    </row>
    <row r="200" spans="1:4" s="501" customFormat="1" ht="12.5">
      <c r="A200" s="579"/>
      <c r="B200" s="579"/>
      <c r="D200" s="576"/>
    </row>
    <row r="201" spans="1:4" s="501" customFormat="1" ht="12.5">
      <c r="A201" s="579"/>
      <c r="B201" s="579"/>
      <c r="D201" s="576"/>
    </row>
    <row r="202" spans="1:4" s="501" customFormat="1" ht="12.5">
      <c r="A202" s="579"/>
      <c r="B202" s="579"/>
      <c r="D202" s="576"/>
    </row>
    <row r="203" spans="1:4" s="501" customFormat="1" ht="12.5">
      <c r="A203" s="579"/>
      <c r="B203" s="579"/>
      <c r="D203" s="576"/>
    </row>
    <row r="204" spans="1:4" s="501" customFormat="1" ht="12.5">
      <c r="A204" s="579"/>
      <c r="B204" s="579"/>
      <c r="D204" s="576"/>
    </row>
    <row r="205" spans="1:4" s="501" customFormat="1" ht="12.5">
      <c r="A205" s="579"/>
      <c r="B205" s="579"/>
      <c r="D205" s="576"/>
    </row>
    <row r="206" spans="1:4" s="501" customFormat="1" ht="12.5">
      <c r="A206" s="579"/>
      <c r="B206" s="579"/>
      <c r="D206" s="576"/>
    </row>
    <row r="207" spans="1:4" s="501" customFormat="1" ht="12.5">
      <c r="A207" s="579"/>
      <c r="B207" s="579"/>
      <c r="D207" s="576"/>
    </row>
    <row r="208" spans="1:4" s="501" customFormat="1" ht="12.5">
      <c r="A208" s="579"/>
      <c r="B208" s="579"/>
      <c r="D208" s="576"/>
    </row>
    <row r="209" spans="1:4" s="501" customFormat="1" ht="12.5">
      <c r="A209" s="579"/>
      <c r="B209" s="579"/>
      <c r="D209" s="576"/>
    </row>
    <row r="210" spans="1:4" s="501" customFormat="1" ht="12.5">
      <c r="A210" s="579"/>
      <c r="B210" s="579"/>
      <c r="D210" s="576"/>
    </row>
    <row r="211" spans="1:4" s="501" customFormat="1" ht="12.5">
      <c r="A211" s="579"/>
      <c r="B211" s="579"/>
      <c r="D211" s="576"/>
    </row>
    <row r="212" spans="1:4" s="501" customFormat="1" ht="12.5">
      <c r="A212" s="579"/>
      <c r="B212" s="579"/>
      <c r="D212" s="576"/>
    </row>
    <row r="213" spans="1:4" s="501" customFormat="1" ht="12.5">
      <c r="A213" s="579"/>
      <c r="B213" s="579"/>
      <c r="D213" s="576"/>
    </row>
    <row r="214" spans="1:4" s="501" customFormat="1" ht="12.5">
      <c r="A214" s="579"/>
      <c r="B214" s="579"/>
      <c r="D214" s="576"/>
    </row>
    <row r="215" spans="1:4" s="501" customFormat="1" ht="12.5">
      <c r="A215" s="579"/>
      <c r="B215" s="579"/>
      <c r="D215" s="576"/>
    </row>
    <row r="216" spans="1:4" s="501" customFormat="1" ht="12.5">
      <c r="A216" s="579"/>
      <c r="B216" s="579"/>
      <c r="D216" s="576"/>
    </row>
    <row r="217" spans="1:4" s="501" customFormat="1" ht="12.5">
      <c r="A217" s="579"/>
      <c r="B217" s="579"/>
      <c r="D217" s="576"/>
    </row>
    <row r="218" spans="1:4" s="501" customFormat="1" ht="12.5">
      <c r="A218" s="579"/>
      <c r="B218" s="579"/>
      <c r="D218" s="576"/>
    </row>
    <row r="219" spans="1:4" s="501" customFormat="1" ht="12.5">
      <c r="A219" s="579"/>
      <c r="B219" s="579"/>
      <c r="D219" s="576"/>
    </row>
    <row r="220" spans="1:4" s="501" customFormat="1" ht="12.5">
      <c r="A220" s="579"/>
      <c r="B220" s="579"/>
      <c r="D220" s="576"/>
    </row>
    <row r="221" spans="1:4" s="501" customFormat="1" ht="12.5">
      <c r="A221" s="579"/>
      <c r="B221" s="579"/>
      <c r="D221" s="576"/>
    </row>
    <row r="222" spans="1:4" s="501" customFormat="1" ht="12.5">
      <c r="A222" s="579"/>
      <c r="B222" s="579"/>
      <c r="D222" s="576"/>
    </row>
    <row r="223" spans="1:4" s="501" customFormat="1" ht="12.5">
      <c r="A223" s="579"/>
      <c r="B223" s="579"/>
      <c r="D223" s="576"/>
    </row>
    <row r="224" spans="1:4" s="501" customFormat="1" ht="12.5">
      <c r="A224" s="579"/>
      <c r="B224" s="579"/>
      <c r="D224" s="576"/>
    </row>
    <row r="225" spans="1:4" s="501" customFormat="1" ht="12.5">
      <c r="A225" s="579"/>
      <c r="B225" s="579"/>
      <c r="D225" s="576"/>
    </row>
    <row r="226" spans="1:4" s="501" customFormat="1" ht="12.5">
      <c r="A226" s="579"/>
      <c r="B226" s="579"/>
      <c r="D226" s="576"/>
    </row>
    <row r="227" spans="1:4" s="501" customFormat="1" ht="12.5">
      <c r="A227" s="579"/>
      <c r="B227" s="579"/>
      <c r="D227" s="576"/>
    </row>
    <row r="228" spans="1:4" s="501" customFormat="1" ht="12.5">
      <c r="A228" s="579"/>
      <c r="B228" s="579"/>
      <c r="D228" s="576"/>
    </row>
    <row r="229" spans="1:4" s="501" customFormat="1" ht="12.5">
      <c r="A229" s="579"/>
      <c r="B229" s="579"/>
      <c r="D229" s="576"/>
    </row>
    <row r="230" spans="1:4" s="501" customFormat="1" ht="12.5">
      <c r="A230" s="579"/>
      <c r="B230" s="579"/>
      <c r="D230" s="576"/>
    </row>
    <row r="231" spans="1:4" s="501" customFormat="1" ht="12.5">
      <c r="A231" s="579"/>
      <c r="B231" s="579"/>
      <c r="D231" s="576"/>
    </row>
    <row r="232" spans="1:4" s="501" customFormat="1" ht="12.5">
      <c r="A232" s="579"/>
      <c r="B232" s="579"/>
      <c r="D232" s="576"/>
    </row>
    <row r="233" spans="1:4" s="501" customFormat="1" ht="12.5">
      <c r="A233" s="579"/>
      <c r="B233" s="579"/>
      <c r="D233" s="576"/>
    </row>
    <row r="234" spans="1:4" s="501" customFormat="1" ht="12.5">
      <c r="A234" s="579"/>
      <c r="B234" s="579"/>
      <c r="D234" s="576"/>
    </row>
    <row r="235" spans="1:4" s="501" customFormat="1" ht="12.5">
      <c r="A235" s="579"/>
      <c r="B235" s="579"/>
      <c r="D235" s="576"/>
    </row>
    <row r="236" spans="1:4" s="501" customFormat="1" ht="12.5">
      <c r="A236" s="579"/>
      <c r="B236" s="579"/>
      <c r="D236" s="576"/>
    </row>
    <row r="237" spans="1:4" s="501" customFormat="1" ht="12.5">
      <c r="A237" s="579"/>
      <c r="B237" s="579"/>
      <c r="D237" s="576"/>
    </row>
    <row r="238" spans="1:4" s="501" customFormat="1" ht="12.5">
      <c r="A238" s="579"/>
      <c r="B238" s="579"/>
      <c r="D238" s="576"/>
    </row>
    <row r="239" spans="1:4" s="501" customFormat="1" ht="12.5">
      <c r="A239" s="579"/>
      <c r="B239" s="579"/>
      <c r="D239" s="576"/>
    </row>
    <row r="240" spans="1:4" s="501" customFormat="1" ht="12.5">
      <c r="A240" s="579"/>
      <c r="B240" s="579"/>
      <c r="D240" s="576"/>
    </row>
    <row r="241" spans="1:4" s="501" customFormat="1" ht="12.5">
      <c r="A241" s="579"/>
      <c r="B241" s="579"/>
      <c r="D241" s="576"/>
    </row>
    <row r="242" spans="1:4" s="501" customFormat="1" ht="12.5">
      <c r="A242" s="579"/>
      <c r="B242" s="579"/>
      <c r="D242" s="576"/>
    </row>
    <row r="243" spans="1:4" s="501" customFormat="1" ht="12.5">
      <c r="A243" s="579"/>
      <c r="B243" s="579"/>
      <c r="D243" s="576"/>
    </row>
    <row r="244" spans="1:4" s="501" customFormat="1" ht="12.5">
      <c r="A244" s="579"/>
      <c r="B244" s="579"/>
      <c r="D244" s="576"/>
    </row>
    <row r="245" spans="1:4" s="501" customFormat="1" ht="12.5">
      <c r="A245" s="579"/>
      <c r="B245" s="579"/>
      <c r="D245" s="576"/>
    </row>
    <row r="246" spans="1:4" s="501" customFormat="1" ht="12.5">
      <c r="A246" s="579"/>
      <c r="B246" s="579"/>
      <c r="D246" s="576"/>
    </row>
    <row r="247" spans="1:4" s="501" customFormat="1" ht="12.5">
      <c r="A247" s="579"/>
      <c r="B247" s="579"/>
      <c r="D247" s="576"/>
    </row>
    <row r="248" spans="1:4" s="501" customFormat="1" ht="12.5">
      <c r="A248" s="579"/>
      <c r="B248" s="579"/>
      <c r="D248" s="576"/>
    </row>
    <row r="249" spans="1:4" s="501" customFormat="1" ht="12.5">
      <c r="A249" s="579"/>
      <c r="B249" s="579"/>
      <c r="D249" s="576"/>
    </row>
    <row r="250" spans="1:4" s="501" customFormat="1" ht="12.5">
      <c r="A250" s="579"/>
      <c r="B250" s="579"/>
      <c r="D250" s="576"/>
    </row>
    <row r="251" spans="1:4" s="501" customFormat="1" ht="12.5">
      <c r="A251" s="579"/>
      <c r="B251" s="579"/>
      <c r="D251" s="576"/>
    </row>
    <row r="252" spans="1:4" s="501" customFormat="1" ht="12.5">
      <c r="A252" s="579"/>
      <c r="B252" s="579"/>
      <c r="D252" s="576"/>
    </row>
    <row r="253" spans="1:4" s="501" customFormat="1" ht="12.5">
      <c r="A253" s="579"/>
      <c r="B253" s="579"/>
      <c r="D253" s="576"/>
    </row>
    <row r="254" spans="1:4" s="501" customFormat="1" ht="12.5">
      <c r="A254" s="579"/>
      <c r="B254" s="579"/>
      <c r="D254" s="576"/>
    </row>
    <row r="255" spans="1:4" s="501" customFormat="1" ht="12.5">
      <c r="A255" s="579"/>
      <c r="B255" s="579"/>
      <c r="D255" s="576"/>
    </row>
    <row r="256" spans="1:4" s="501" customFormat="1" ht="12.5">
      <c r="A256" s="579"/>
      <c r="B256" s="579"/>
      <c r="D256" s="576"/>
    </row>
    <row r="257" spans="1:4" s="501" customFormat="1" ht="12.5">
      <c r="A257" s="579"/>
      <c r="B257" s="579"/>
      <c r="D257" s="576"/>
    </row>
    <row r="258" spans="1:4" s="501" customFormat="1" ht="12.5">
      <c r="A258" s="579"/>
      <c r="B258" s="579"/>
      <c r="D258" s="576"/>
    </row>
    <row r="259" spans="1:4" s="501" customFormat="1" ht="12.5">
      <c r="A259" s="579"/>
      <c r="B259" s="579"/>
      <c r="D259" s="576"/>
    </row>
    <row r="260" spans="1:4" s="501" customFormat="1" ht="12.5">
      <c r="A260" s="579"/>
      <c r="B260" s="579"/>
      <c r="D260" s="576"/>
    </row>
    <row r="261" spans="1:4" s="501" customFormat="1" ht="12.5">
      <c r="A261" s="579"/>
      <c r="B261" s="579"/>
      <c r="D261" s="576"/>
    </row>
    <row r="262" spans="1:4" s="501" customFormat="1" ht="12.5">
      <c r="A262" s="579"/>
      <c r="B262" s="579"/>
      <c r="D262" s="576"/>
    </row>
    <row r="263" spans="1:4" s="501" customFormat="1" ht="12.5">
      <c r="A263" s="579"/>
      <c r="B263" s="579"/>
      <c r="D263" s="576"/>
    </row>
    <row r="264" spans="1:4" s="501" customFormat="1" ht="12.5">
      <c r="A264" s="579"/>
      <c r="B264" s="579"/>
      <c r="D264" s="576"/>
    </row>
    <row r="265" spans="1:4" s="501" customFormat="1" ht="12.5">
      <c r="A265" s="579"/>
      <c r="B265" s="579"/>
      <c r="D265" s="576"/>
    </row>
    <row r="266" spans="1:4" s="501" customFormat="1" ht="12.5">
      <c r="A266" s="579"/>
      <c r="B266" s="579"/>
      <c r="D266" s="576"/>
    </row>
    <row r="267" spans="1:4" s="501" customFormat="1" ht="12.5">
      <c r="A267" s="579"/>
      <c r="B267" s="579"/>
      <c r="D267" s="576"/>
    </row>
    <row r="268" spans="1:4" s="501" customFormat="1" ht="12.5">
      <c r="A268" s="579"/>
      <c r="B268" s="579"/>
      <c r="D268" s="576"/>
    </row>
    <row r="269" spans="1:4" s="501" customFormat="1" ht="12.5">
      <c r="A269" s="579"/>
      <c r="B269" s="579"/>
      <c r="D269" s="576"/>
    </row>
    <row r="270" spans="1:4" s="501" customFormat="1" ht="12.5">
      <c r="A270" s="579"/>
      <c r="B270" s="579"/>
      <c r="D270" s="576"/>
    </row>
    <row r="271" spans="1:4" s="501" customFormat="1" ht="12.5">
      <c r="A271" s="579"/>
      <c r="B271" s="579"/>
      <c r="D271" s="576"/>
    </row>
    <row r="272" spans="1:4" s="501" customFormat="1" ht="12.5">
      <c r="A272" s="579"/>
      <c r="B272" s="579"/>
      <c r="D272" s="576"/>
    </row>
    <row r="273" spans="1:4" s="501" customFormat="1" ht="12.5">
      <c r="A273" s="579"/>
      <c r="B273" s="579"/>
      <c r="D273" s="576"/>
    </row>
    <row r="274" spans="1:4" s="501" customFormat="1" ht="12.5">
      <c r="A274" s="579"/>
      <c r="B274" s="579"/>
      <c r="D274" s="576"/>
    </row>
    <row r="275" spans="1:4" s="501" customFormat="1" ht="12.5">
      <c r="A275" s="579"/>
      <c r="B275" s="579"/>
      <c r="D275" s="576"/>
    </row>
  </sheetData>
  <mergeCells count="7">
    <mergeCell ref="B29:C29"/>
    <mergeCell ref="B15:C15"/>
    <mergeCell ref="B16:C16"/>
    <mergeCell ref="B18:C18"/>
    <mergeCell ref="B19:C19"/>
    <mergeCell ref="B24:C24"/>
    <mergeCell ref="B27:C27"/>
  </mergeCells>
  <pageMargins left="1.1023622047244095" right="0.70866141732283472" top="0.74803149606299213" bottom="0.74803149606299213" header="0.31496062992125984" footer="0.31496062992125984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Z284"/>
  <sheetViews>
    <sheetView workbookViewId="0">
      <selection activeCell="E19" sqref="E18:E19"/>
    </sheetView>
  </sheetViews>
  <sheetFormatPr defaultColWidth="9.1796875" defaultRowHeight="14"/>
  <cols>
    <col min="1" max="1" width="7.1796875" style="519" customWidth="1"/>
    <col min="2" max="2" width="39.54296875" style="520" customWidth="1"/>
    <col min="3" max="3" width="11.453125" style="580" customWidth="1"/>
    <col min="4" max="4" width="10.1796875" style="580" bestFit="1" customWidth="1"/>
    <col min="5" max="5" width="8.453125" style="580" bestFit="1" customWidth="1"/>
    <col min="6" max="6" width="7.54296875" style="580" bestFit="1" customWidth="1"/>
    <col min="7" max="7" width="11" style="580" bestFit="1" customWidth="1"/>
    <col min="8" max="8" width="10.7265625" style="501" bestFit="1" customWidth="1"/>
    <col min="9" max="9" width="6.1796875" style="501" customWidth="1"/>
    <col min="10" max="10" width="16.26953125" style="520" customWidth="1"/>
    <col min="11" max="52" width="9.1796875" style="520" customWidth="1"/>
    <col min="53" max="256" width="9.1796875" style="520"/>
    <col min="257" max="257" width="7.1796875" style="520" customWidth="1"/>
    <col min="258" max="258" width="39.54296875" style="520" customWidth="1"/>
    <col min="259" max="259" width="11.453125" style="520" customWidth="1"/>
    <col min="260" max="260" width="10.1796875" style="520" bestFit="1" customWidth="1"/>
    <col min="261" max="261" width="8.453125" style="520" bestFit="1" customWidth="1"/>
    <col min="262" max="262" width="7.54296875" style="520" bestFit="1" customWidth="1"/>
    <col min="263" max="263" width="11" style="520" bestFit="1" customWidth="1"/>
    <col min="264" max="264" width="10.7265625" style="520" bestFit="1" customWidth="1"/>
    <col min="265" max="265" width="6.1796875" style="520" customWidth="1"/>
    <col min="266" max="266" width="16.26953125" style="520" customWidth="1"/>
    <col min="267" max="308" width="9.1796875" style="520" customWidth="1"/>
    <col min="309" max="512" width="9.1796875" style="520"/>
    <col min="513" max="513" width="7.1796875" style="520" customWidth="1"/>
    <col min="514" max="514" width="39.54296875" style="520" customWidth="1"/>
    <col min="515" max="515" width="11.453125" style="520" customWidth="1"/>
    <col min="516" max="516" width="10.1796875" style="520" bestFit="1" customWidth="1"/>
    <col min="517" max="517" width="8.453125" style="520" bestFit="1" customWidth="1"/>
    <col min="518" max="518" width="7.54296875" style="520" bestFit="1" customWidth="1"/>
    <col min="519" max="519" width="11" style="520" bestFit="1" customWidth="1"/>
    <col min="520" max="520" width="10.7265625" style="520" bestFit="1" customWidth="1"/>
    <col min="521" max="521" width="6.1796875" style="520" customWidth="1"/>
    <col min="522" max="522" width="16.26953125" style="520" customWidth="1"/>
    <col min="523" max="564" width="9.1796875" style="520" customWidth="1"/>
    <col min="565" max="768" width="9.1796875" style="520"/>
    <col min="769" max="769" width="7.1796875" style="520" customWidth="1"/>
    <col min="770" max="770" width="39.54296875" style="520" customWidth="1"/>
    <col min="771" max="771" width="11.453125" style="520" customWidth="1"/>
    <col min="772" max="772" width="10.1796875" style="520" bestFit="1" customWidth="1"/>
    <col min="773" max="773" width="8.453125" style="520" bestFit="1" customWidth="1"/>
    <col min="774" max="774" width="7.54296875" style="520" bestFit="1" customWidth="1"/>
    <col min="775" max="775" width="11" style="520" bestFit="1" customWidth="1"/>
    <col min="776" max="776" width="10.7265625" style="520" bestFit="1" customWidth="1"/>
    <col min="777" max="777" width="6.1796875" style="520" customWidth="1"/>
    <col min="778" max="778" width="16.26953125" style="520" customWidth="1"/>
    <col min="779" max="820" width="9.1796875" style="520" customWidth="1"/>
    <col min="821" max="1024" width="9.1796875" style="520"/>
    <col min="1025" max="1025" width="7.1796875" style="520" customWidth="1"/>
    <col min="1026" max="1026" width="39.54296875" style="520" customWidth="1"/>
    <col min="1027" max="1027" width="11.453125" style="520" customWidth="1"/>
    <col min="1028" max="1028" width="10.1796875" style="520" bestFit="1" customWidth="1"/>
    <col min="1029" max="1029" width="8.453125" style="520" bestFit="1" customWidth="1"/>
    <col min="1030" max="1030" width="7.54296875" style="520" bestFit="1" customWidth="1"/>
    <col min="1031" max="1031" width="11" style="520" bestFit="1" customWidth="1"/>
    <col min="1032" max="1032" width="10.7265625" style="520" bestFit="1" customWidth="1"/>
    <col min="1033" max="1033" width="6.1796875" style="520" customWidth="1"/>
    <col min="1034" max="1034" width="16.26953125" style="520" customWidth="1"/>
    <col min="1035" max="1076" width="9.1796875" style="520" customWidth="1"/>
    <col min="1077" max="1280" width="9.1796875" style="520"/>
    <col min="1281" max="1281" width="7.1796875" style="520" customWidth="1"/>
    <col min="1282" max="1282" width="39.54296875" style="520" customWidth="1"/>
    <col min="1283" max="1283" width="11.453125" style="520" customWidth="1"/>
    <col min="1284" max="1284" width="10.1796875" style="520" bestFit="1" customWidth="1"/>
    <col min="1285" max="1285" width="8.453125" style="520" bestFit="1" customWidth="1"/>
    <col min="1286" max="1286" width="7.54296875" style="520" bestFit="1" customWidth="1"/>
    <col min="1287" max="1287" width="11" style="520" bestFit="1" customWidth="1"/>
    <col min="1288" max="1288" width="10.7265625" style="520" bestFit="1" customWidth="1"/>
    <col min="1289" max="1289" width="6.1796875" style="520" customWidth="1"/>
    <col min="1290" max="1290" width="16.26953125" style="520" customWidth="1"/>
    <col min="1291" max="1332" width="9.1796875" style="520" customWidth="1"/>
    <col min="1333" max="1536" width="9.1796875" style="520"/>
    <col min="1537" max="1537" width="7.1796875" style="520" customWidth="1"/>
    <col min="1538" max="1538" width="39.54296875" style="520" customWidth="1"/>
    <col min="1539" max="1539" width="11.453125" style="520" customWidth="1"/>
    <col min="1540" max="1540" width="10.1796875" style="520" bestFit="1" customWidth="1"/>
    <col min="1541" max="1541" width="8.453125" style="520" bestFit="1" customWidth="1"/>
    <col min="1542" max="1542" width="7.54296875" style="520" bestFit="1" customWidth="1"/>
    <col min="1543" max="1543" width="11" style="520" bestFit="1" customWidth="1"/>
    <col min="1544" max="1544" width="10.7265625" style="520" bestFit="1" customWidth="1"/>
    <col min="1545" max="1545" width="6.1796875" style="520" customWidth="1"/>
    <col min="1546" max="1546" width="16.26953125" style="520" customWidth="1"/>
    <col min="1547" max="1588" width="9.1796875" style="520" customWidth="1"/>
    <col min="1589" max="1792" width="9.1796875" style="520"/>
    <col min="1793" max="1793" width="7.1796875" style="520" customWidth="1"/>
    <col min="1794" max="1794" width="39.54296875" style="520" customWidth="1"/>
    <col min="1795" max="1795" width="11.453125" style="520" customWidth="1"/>
    <col min="1796" max="1796" width="10.1796875" style="520" bestFit="1" customWidth="1"/>
    <col min="1797" max="1797" width="8.453125" style="520" bestFit="1" customWidth="1"/>
    <col min="1798" max="1798" width="7.54296875" style="520" bestFit="1" customWidth="1"/>
    <col min="1799" max="1799" width="11" style="520" bestFit="1" customWidth="1"/>
    <col min="1800" max="1800" width="10.7265625" style="520" bestFit="1" customWidth="1"/>
    <col min="1801" max="1801" width="6.1796875" style="520" customWidth="1"/>
    <col min="1802" max="1802" width="16.26953125" style="520" customWidth="1"/>
    <col min="1803" max="1844" width="9.1796875" style="520" customWidth="1"/>
    <col min="1845" max="2048" width="9.1796875" style="520"/>
    <col min="2049" max="2049" width="7.1796875" style="520" customWidth="1"/>
    <col min="2050" max="2050" width="39.54296875" style="520" customWidth="1"/>
    <col min="2051" max="2051" width="11.453125" style="520" customWidth="1"/>
    <col min="2052" max="2052" width="10.1796875" style="520" bestFit="1" customWidth="1"/>
    <col min="2053" max="2053" width="8.453125" style="520" bestFit="1" customWidth="1"/>
    <col min="2054" max="2054" width="7.54296875" style="520" bestFit="1" customWidth="1"/>
    <col min="2055" max="2055" width="11" style="520" bestFit="1" customWidth="1"/>
    <col min="2056" max="2056" width="10.7265625" style="520" bestFit="1" customWidth="1"/>
    <col min="2057" max="2057" width="6.1796875" style="520" customWidth="1"/>
    <col min="2058" max="2058" width="16.26953125" style="520" customWidth="1"/>
    <col min="2059" max="2100" width="9.1796875" style="520" customWidth="1"/>
    <col min="2101" max="2304" width="9.1796875" style="520"/>
    <col min="2305" max="2305" width="7.1796875" style="520" customWidth="1"/>
    <col min="2306" max="2306" width="39.54296875" style="520" customWidth="1"/>
    <col min="2307" max="2307" width="11.453125" style="520" customWidth="1"/>
    <col min="2308" max="2308" width="10.1796875" style="520" bestFit="1" customWidth="1"/>
    <col min="2309" max="2309" width="8.453125" style="520" bestFit="1" customWidth="1"/>
    <col min="2310" max="2310" width="7.54296875" style="520" bestFit="1" customWidth="1"/>
    <col min="2311" max="2311" width="11" style="520" bestFit="1" customWidth="1"/>
    <col min="2312" max="2312" width="10.7265625" style="520" bestFit="1" customWidth="1"/>
    <col min="2313" max="2313" width="6.1796875" style="520" customWidth="1"/>
    <col min="2314" max="2314" width="16.26953125" style="520" customWidth="1"/>
    <col min="2315" max="2356" width="9.1796875" style="520" customWidth="1"/>
    <col min="2357" max="2560" width="9.1796875" style="520"/>
    <col min="2561" max="2561" width="7.1796875" style="520" customWidth="1"/>
    <col min="2562" max="2562" width="39.54296875" style="520" customWidth="1"/>
    <col min="2563" max="2563" width="11.453125" style="520" customWidth="1"/>
    <col min="2564" max="2564" width="10.1796875" style="520" bestFit="1" customWidth="1"/>
    <col min="2565" max="2565" width="8.453125" style="520" bestFit="1" customWidth="1"/>
    <col min="2566" max="2566" width="7.54296875" style="520" bestFit="1" customWidth="1"/>
    <col min="2567" max="2567" width="11" style="520" bestFit="1" customWidth="1"/>
    <col min="2568" max="2568" width="10.7265625" style="520" bestFit="1" customWidth="1"/>
    <col min="2569" max="2569" width="6.1796875" style="520" customWidth="1"/>
    <col min="2570" max="2570" width="16.26953125" style="520" customWidth="1"/>
    <col min="2571" max="2612" width="9.1796875" style="520" customWidth="1"/>
    <col min="2613" max="2816" width="9.1796875" style="520"/>
    <col min="2817" max="2817" width="7.1796875" style="520" customWidth="1"/>
    <col min="2818" max="2818" width="39.54296875" style="520" customWidth="1"/>
    <col min="2819" max="2819" width="11.453125" style="520" customWidth="1"/>
    <col min="2820" max="2820" width="10.1796875" style="520" bestFit="1" customWidth="1"/>
    <col min="2821" max="2821" width="8.453125" style="520" bestFit="1" customWidth="1"/>
    <col min="2822" max="2822" width="7.54296875" style="520" bestFit="1" customWidth="1"/>
    <col min="2823" max="2823" width="11" style="520" bestFit="1" customWidth="1"/>
    <col min="2824" max="2824" width="10.7265625" style="520" bestFit="1" customWidth="1"/>
    <col min="2825" max="2825" width="6.1796875" style="520" customWidth="1"/>
    <col min="2826" max="2826" width="16.26953125" style="520" customWidth="1"/>
    <col min="2827" max="2868" width="9.1796875" style="520" customWidth="1"/>
    <col min="2869" max="3072" width="9.1796875" style="520"/>
    <col min="3073" max="3073" width="7.1796875" style="520" customWidth="1"/>
    <col min="3074" max="3074" width="39.54296875" style="520" customWidth="1"/>
    <col min="3075" max="3075" width="11.453125" style="520" customWidth="1"/>
    <col min="3076" max="3076" width="10.1796875" style="520" bestFit="1" customWidth="1"/>
    <col min="3077" max="3077" width="8.453125" style="520" bestFit="1" customWidth="1"/>
    <col min="3078" max="3078" width="7.54296875" style="520" bestFit="1" customWidth="1"/>
    <col min="3079" max="3079" width="11" style="520" bestFit="1" customWidth="1"/>
    <col min="3080" max="3080" width="10.7265625" style="520" bestFit="1" customWidth="1"/>
    <col min="3081" max="3081" width="6.1796875" style="520" customWidth="1"/>
    <col min="3082" max="3082" width="16.26953125" style="520" customWidth="1"/>
    <col min="3083" max="3124" width="9.1796875" style="520" customWidth="1"/>
    <col min="3125" max="3328" width="9.1796875" style="520"/>
    <col min="3329" max="3329" width="7.1796875" style="520" customWidth="1"/>
    <col min="3330" max="3330" width="39.54296875" style="520" customWidth="1"/>
    <col min="3331" max="3331" width="11.453125" style="520" customWidth="1"/>
    <col min="3332" max="3332" width="10.1796875" style="520" bestFit="1" customWidth="1"/>
    <col min="3333" max="3333" width="8.453125" style="520" bestFit="1" customWidth="1"/>
    <col min="3334" max="3334" width="7.54296875" style="520" bestFit="1" customWidth="1"/>
    <col min="3335" max="3335" width="11" style="520" bestFit="1" customWidth="1"/>
    <col min="3336" max="3336" width="10.7265625" style="520" bestFit="1" customWidth="1"/>
    <col min="3337" max="3337" width="6.1796875" style="520" customWidth="1"/>
    <col min="3338" max="3338" width="16.26953125" style="520" customWidth="1"/>
    <col min="3339" max="3380" width="9.1796875" style="520" customWidth="1"/>
    <col min="3381" max="3584" width="9.1796875" style="520"/>
    <col min="3585" max="3585" width="7.1796875" style="520" customWidth="1"/>
    <col min="3586" max="3586" width="39.54296875" style="520" customWidth="1"/>
    <col min="3587" max="3587" width="11.453125" style="520" customWidth="1"/>
    <col min="3588" max="3588" width="10.1796875" style="520" bestFit="1" customWidth="1"/>
    <col min="3589" max="3589" width="8.453125" style="520" bestFit="1" customWidth="1"/>
    <col min="3590" max="3590" width="7.54296875" style="520" bestFit="1" customWidth="1"/>
    <col min="3591" max="3591" width="11" style="520" bestFit="1" customWidth="1"/>
    <col min="3592" max="3592" width="10.7265625" style="520" bestFit="1" customWidth="1"/>
    <col min="3593" max="3593" width="6.1796875" style="520" customWidth="1"/>
    <col min="3594" max="3594" width="16.26953125" style="520" customWidth="1"/>
    <col min="3595" max="3636" width="9.1796875" style="520" customWidth="1"/>
    <col min="3637" max="3840" width="9.1796875" style="520"/>
    <col min="3841" max="3841" width="7.1796875" style="520" customWidth="1"/>
    <col min="3842" max="3842" width="39.54296875" style="520" customWidth="1"/>
    <col min="3843" max="3843" width="11.453125" style="520" customWidth="1"/>
    <col min="3844" max="3844" width="10.1796875" style="520" bestFit="1" customWidth="1"/>
    <col min="3845" max="3845" width="8.453125" style="520" bestFit="1" customWidth="1"/>
    <col min="3846" max="3846" width="7.54296875" style="520" bestFit="1" customWidth="1"/>
    <col min="3847" max="3847" width="11" style="520" bestFit="1" customWidth="1"/>
    <col min="3848" max="3848" width="10.7265625" style="520" bestFit="1" customWidth="1"/>
    <col min="3849" max="3849" width="6.1796875" style="520" customWidth="1"/>
    <col min="3850" max="3850" width="16.26953125" style="520" customWidth="1"/>
    <col min="3851" max="3892" width="9.1796875" style="520" customWidth="1"/>
    <col min="3893" max="4096" width="9.1796875" style="520"/>
    <col min="4097" max="4097" width="7.1796875" style="520" customWidth="1"/>
    <col min="4098" max="4098" width="39.54296875" style="520" customWidth="1"/>
    <col min="4099" max="4099" width="11.453125" style="520" customWidth="1"/>
    <col min="4100" max="4100" width="10.1796875" style="520" bestFit="1" customWidth="1"/>
    <col min="4101" max="4101" width="8.453125" style="520" bestFit="1" customWidth="1"/>
    <col min="4102" max="4102" width="7.54296875" style="520" bestFit="1" customWidth="1"/>
    <col min="4103" max="4103" width="11" style="520" bestFit="1" customWidth="1"/>
    <col min="4104" max="4104" width="10.7265625" style="520" bestFit="1" customWidth="1"/>
    <col min="4105" max="4105" width="6.1796875" style="520" customWidth="1"/>
    <col min="4106" max="4106" width="16.26953125" style="520" customWidth="1"/>
    <col min="4107" max="4148" width="9.1796875" style="520" customWidth="1"/>
    <col min="4149" max="4352" width="9.1796875" style="520"/>
    <col min="4353" max="4353" width="7.1796875" style="520" customWidth="1"/>
    <col min="4354" max="4354" width="39.54296875" style="520" customWidth="1"/>
    <col min="4355" max="4355" width="11.453125" style="520" customWidth="1"/>
    <col min="4356" max="4356" width="10.1796875" style="520" bestFit="1" customWidth="1"/>
    <col min="4357" max="4357" width="8.453125" style="520" bestFit="1" customWidth="1"/>
    <col min="4358" max="4358" width="7.54296875" style="520" bestFit="1" customWidth="1"/>
    <col min="4359" max="4359" width="11" style="520" bestFit="1" customWidth="1"/>
    <col min="4360" max="4360" width="10.7265625" style="520" bestFit="1" customWidth="1"/>
    <col min="4361" max="4361" width="6.1796875" style="520" customWidth="1"/>
    <col min="4362" max="4362" width="16.26953125" style="520" customWidth="1"/>
    <col min="4363" max="4404" width="9.1796875" style="520" customWidth="1"/>
    <col min="4405" max="4608" width="9.1796875" style="520"/>
    <col min="4609" max="4609" width="7.1796875" style="520" customWidth="1"/>
    <col min="4610" max="4610" width="39.54296875" style="520" customWidth="1"/>
    <col min="4611" max="4611" width="11.453125" style="520" customWidth="1"/>
    <col min="4612" max="4612" width="10.1796875" style="520" bestFit="1" customWidth="1"/>
    <col min="4613" max="4613" width="8.453125" style="520" bestFit="1" customWidth="1"/>
    <col min="4614" max="4614" width="7.54296875" style="520" bestFit="1" customWidth="1"/>
    <col min="4615" max="4615" width="11" style="520" bestFit="1" customWidth="1"/>
    <col min="4616" max="4616" width="10.7265625" style="520" bestFit="1" customWidth="1"/>
    <col min="4617" max="4617" width="6.1796875" style="520" customWidth="1"/>
    <col min="4618" max="4618" width="16.26953125" style="520" customWidth="1"/>
    <col min="4619" max="4660" width="9.1796875" style="520" customWidth="1"/>
    <col min="4661" max="4864" width="9.1796875" style="520"/>
    <col min="4865" max="4865" width="7.1796875" style="520" customWidth="1"/>
    <col min="4866" max="4866" width="39.54296875" style="520" customWidth="1"/>
    <col min="4867" max="4867" width="11.453125" style="520" customWidth="1"/>
    <col min="4868" max="4868" width="10.1796875" style="520" bestFit="1" customWidth="1"/>
    <col min="4869" max="4869" width="8.453125" style="520" bestFit="1" customWidth="1"/>
    <col min="4870" max="4870" width="7.54296875" style="520" bestFit="1" customWidth="1"/>
    <col min="4871" max="4871" width="11" style="520" bestFit="1" customWidth="1"/>
    <col min="4872" max="4872" width="10.7265625" style="520" bestFit="1" customWidth="1"/>
    <col min="4873" max="4873" width="6.1796875" style="520" customWidth="1"/>
    <col min="4874" max="4874" width="16.26953125" style="520" customWidth="1"/>
    <col min="4875" max="4916" width="9.1796875" style="520" customWidth="1"/>
    <col min="4917" max="5120" width="9.1796875" style="520"/>
    <col min="5121" max="5121" width="7.1796875" style="520" customWidth="1"/>
    <col min="5122" max="5122" width="39.54296875" style="520" customWidth="1"/>
    <col min="5123" max="5123" width="11.453125" style="520" customWidth="1"/>
    <col min="5124" max="5124" width="10.1796875" style="520" bestFit="1" customWidth="1"/>
    <col min="5125" max="5125" width="8.453125" style="520" bestFit="1" customWidth="1"/>
    <col min="5126" max="5126" width="7.54296875" style="520" bestFit="1" customWidth="1"/>
    <col min="5127" max="5127" width="11" style="520" bestFit="1" customWidth="1"/>
    <col min="5128" max="5128" width="10.7265625" style="520" bestFit="1" customWidth="1"/>
    <col min="5129" max="5129" width="6.1796875" style="520" customWidth="1"/>
    <col min="5130" max="5130" width="16.26953125" style="520" customWidth="1"/>
    <col min="5131" max="5172" width="9.1796875" style="520" customWidth="1"/>
    <col min="5173" max="5376" width="9.1796875" style="520"/>
    <col min="5377" max="5377" width="7.1796875" style="520" customWidth="1"/>
    <col min="5378" max="5378" width="39.54296875" style="520" customWidth="1"/>
    <col min="5379" max="5379" width="11.453125" style="520" customWidth="1"/>
    <col min="5380" max="5380" width="10.1796875" style="520" bestFit="1" customWidth="1"/>
    <col min="5381" max="5381" width="8.453125" style="520" bestFit="1" customWidth="1"/>
    <col min="5382" max="5382" width="7.54296875" style="520" bestFit="1" customWidth="1"/>
    <col min="5383" max="5383" width="11" style="520" bestFit="1" customWidth="1"/>
    <col min="5384" max="5384" width="10.7265625" style="520" bestFit="1" customWidth="1"/>
    <col min="5385" max="5385" width="6.1796875" style="520" customWidth="1"/>
    <col min="5386" max="5386" width="16.26953125" style="520" customWidth="1"/>
    <col min="5387" max="5428" width="9.1796875" style="520" customWidth="1"/>
    <col min="5429" max="5632" width="9.1796875" style="520"/>
    <col min="5633" max="5633" width="7.1796875" style="520" customWidth="1"/>
    <col min="5634" max="5634" width="39.54296875" style="520" customWidth="1"/>
    <col min="5635" max="5635" width="11.453125" style="520" customWidth="1"/>
    <col min="5636" max="5636" width="10.1796875" style="520" bestFit="1" customWidth="1"/>
    <col min="5637" max="5637" width="8.453125" style="520" bestFit="1" customWidth="1"/>
    <col min="5638" max="5638" width="7.54296875" style="520" bestFit="1" customWidth="1"/>
    <col min="5639" max="5639" width="11" style="520" bestFit="1" customWidth="1"/>
    <col min="5640" max="5640" width="10.7265625" style="520" bestFit="1" customWidth="1"/>
    <col min="5641" max="5641" width="6.1796875" style="520" customWidth="1"/>
    <col min="5642" max="5642" width="16.26953125" style="520" customWidth="1"/>
    <col min="5643" max="5684" width="9.1796875" style="520" customWidth="1"/>
    <col min="5685" max="5888" width="9.1796875" style="520"/>
    <col min="5889" max="5889" width="7.1796875" style="520" customWidth="1"/>
    <col min="5890" max="5890" width="39.54296875" style="520" customWidth="1"/>
    <col min="5891" max="5891" width="11.453125" style="520" customWidth="1"/>
    <col min="5892" max="5892" width="10.1796875" style="520" bestFit="1" customWidth="1"/>
    <col min="5893" max="5893" width="8.453125" style="520" bestFit="1" customWidth="1"/>
    <col min="5894" max="5894" width="7.54296875" style="520" bestFit="1" customWidth="1"/>
    <col min="5895" max="5895" width="11" style="520" bestFit="1" customWidth="1"/>
    <col min="5896" max="5896" width="10.7265625" style="520" bestFit="1" customWidth="1"/>
    <col min="5897" max="5897" width="6.1796875" style="520" customWidth="1"/>
    <col min="5898" max="5898" width="16.26953125" style="520" customWidth="1"/>
    <col min="5899" max="5940" width="9.1796875" style="520" customWidth="1"/>
    <col min="5941" max="6144" width="9.1796875" style="520"/>
    <col min="6145" max="6145" width="7.1796875" style="520" customWidth="1"/>
    <col min="6146" max="6146" width="39.54296875" style="520" customWidth="1"/>
    <col min="6147" max="6147" width="11.453125" style="520" customWidth="1"/>
    <col min="6148" max="6148" width="10.1796875" style="520" bestFit="1" customWidth="1"/>
    <col min="6149" max="6149" width="8.453125" style="520" bestFit="1" customWidth="1"/>
    <col min="6150" max="6150" width="7.54296875" style="520" bestFit="1" customWidth="1"/>
    <col min="6151" max="6151" width="11" style="520" bestFit="1" customWidth="1"/>
    <col min="6152" max="6152" width="10.7265625" style="520" bestFit="1" customWidth="1"/>
    <col min="6153" max="6153" width="6.1796875" style="520" customWidth="1"/>
    <col min="6154" max="6154" width="16.26953125" style="520" customWidth="1"/>
    <col min="6155" max="6196" width="9.1796875" style="520" customWidth="1"/>
    <col min="6197" max="6400" width="9.1796875" style="520"/>
    <col min="6401" max="6401" width="7.1796875" style="520" customWidth="1"/>
    <col min="6402" max="6402" width="39.54296875" style="520" customWidth="1"/>
    <col min="6403" max="6403" width="11.453125" style="520" customWidth="1"/>
    <col min="6404" max="6404" width="10.1796875" style="520" bestFit="1" customWidth="1"/>
    <col min="6405" max="6405" width="8.453125" style="520" bestFit="1" customWidth="1"/>
    <col min="6406" max="6406" width="7.54296875" style="520" bestFit="1" customWidth="1"/>
    <col min="6407" max="6407" width="11" style="520" bestFit="1" customWidth="1"/>
    <col min="6408" max="6408" width="10.7265625" style="520" bestFit="1" customWidth="1"/>
    <col min="6409" max="6409" width="6.1796875" style="520" customWidth="1"/>
    <col min="6410" max="6410" width="16.26953125" style="520" customWidth="1"/>
    <col min="6411" max="6452" width="9.1796875" style="520" customWidth="1"/>
    <col min="6453" max="6656" width="9.1796875" style="520"/>
    <col min="6657" max="6657" width="7.1796875" style="520" customWidth="1"/>
    <col min="6658" max="6658" width="39.54296875" style="520" customWidth="1"/>
    <col min="6659" max="6659" width="11.453125" style="520" customWidth="1"/>
    <col min="6660" max="6660" width="10.1796875" style="520" bestFit="1" customWidth="1"/>
    <col min="6661" max="6661" width="8.453125" style="520" bestFit="1" customWidth="1"/>
    <col min="6662" max="6662" width="7.54296875" style="520" bestFit="1" customWidth="1"/>
    <col min="6663" max="6663" width="11" style="520" bestFit="1" customWidth="1"/>
    <col min="6664" max="6664" width="10.7265625" style="520" bestFit="1" customWidth="1"/>
    <col min="6665" max="6665" width="6.1796875" style="520" customWidth="1"/>
    <col min="6666" max="6666" width="16.26953125" style="520" customWidth="1"/>
    <col min="6667" max="6708" width="9.1796875" style="520" customWidth="1"/>
    <col min="6709" max="6912" width="9.1796875" style="520"/>
    <col min="6913" max="6913" width="7.1796875" style="520" customWidth="1"/>
    <col min="6914" max="6914" width="39.54296875" style="520" customWidth="1"/>
    <col min="6915" max="6915" width="11.453125" style="520" customWidth="1"/>
    <col min="6916" max="6916" width="10.1796875" style="520" bestFit="1" customWidth="1"/>
    <col min="6917" max="6917" width="8.453125" style="520" bestFit="1" customWidth="1"/>
    <col min="6918" max="6918" width="7.54296875" style="520" bestFit="1" customWidth="1"/>
    <col min="6919" max="6919" width="11" style="520" bestFit="1" customWidth="1"/>
    <col min="6920" max="6920" width="10.7265625" style="520" bestFit="1" customWidth="1"/>
    <col min="6921" max="6921" width="6.1796875" style="520" customWidth="1"/>
    <col min="6922" max="6922" width="16.26953125" style="520" customWidth="1"/>
    <col min="6923" max="6964" width="9.1796875" style="520" customWidth="1"/>
    <col min="6965" max="7168" width="9.1796875" style="520"/>
    <col min="7169" max="7169" width="7.1796875" style="520" customWidth="1"/>
    <col min="7170" max="7170" width="39.54296875" style="520" customWidth="1"/>
    <col min="7171" max="7171" width="11.453125" style="520" customWidth="1"/>
    <col min="7172" max="7172" width="10.1796875" style="520" bestFit="1" customWidth="1"/>
    <col min="7173" max="7173" width="8.453125" style="520" bestFit="1" customWidth="1"/>
    <col min="7174" max="7174" width="7.54296875" style="520" bestFit="1" customWidth="1"/>
    <col min="7175" max="7175" width="11" style="520" bestFit="1" customWidth="1"/>
    <col min="7176" max="7176" width="10.7265625" style="520" bestFit="1" customWidth="1"/>
    <col min="7177" max="7177" width="6.1796875" style="520" customWidth="1"/>
    <col min="7178" max="7178" width="16.26953125" style="520" customWidth="1"/>
    <col min="7179" max="7220" width="9.1796875" style="520" customWidth="1"/>
    <col min="7221" max="7424" width="9.1796875" style="520"/>
    <col min="7425" max="7425" width="7.1796875" style="520" customWidth="1"/>
    <col min="7426" max="7426" width="39.54296875" style="520" customWidth="1"/>
    <col min="7427" max="7427" width="11.453125" style="520" customWidth="1"/>
    <col min="7428" max="7428" width="10.1796875" style="520" bestFit="1" customWidth="1"/>
    <col min="7429" max="7429" width="8.453125" style="520" bestFit="1" customWidth="1"/>
    <col min="7430" max="7430" width="7.54296875" style="520" bestFit="1" customWidth="1"/>
    <col min="7431" max="7431" width="11" style="520" bestFit="1" customWidth="1"/>
    <col min="7432" max="7432" width="10.7265625" style="520" bestFit="1" customWidth="1"/>
    <col min="7433" max="7433" width="6.1796875" style="520" customWidth="1"/>
    <col min="7434" max="7434" width="16.26953125" style="520" customWidth="1"/>
    <col min="7435" max="7476" width="9.1796875" style="520" customWidth="1"/>
    <col min="7477" max="7680" width="9.1796875" style="520"/>
    <col min="7681" max="7681" width="7.1796875" style="520" customWidth="1"/>
    <col min="7682" max="7682" width="39.54296875" style="520" customWidth="1"/>
    <col min="7683" max="7683" width="11.453125" style="520" customWidth="1"/>
    <col min="7684" max="7684" width="10.1796875" style="520" bestFit="1" customWidth="1"/>
    <col min="7685" max="7685" width="8.453125" style="520" bestFit="1" customWidth="1"/>
    <col min="7686" max="7686" width="7.54296875" style="520" bestFit="1" customWidth="1"/>
    <col min="7687" max="7687" width="11" style="520" bestFit="1" customWidth="1"/>
    <col min="7688" max="7688" width="10.7265625" style="520" bestFit="1" customWidth="1"/>
    <col min="7689" max="7689" width="6.1796875" style="520" customWidth="1"/>
    <col min="7690" max="7690" width="16.26953125" style="520" customWidth="1"/>
    <col min="7691" max="7732" width="9.1796875" style="520" customWidth="1"/>
    <col min="7733" max="7936" width="9.1796875" style="520"/>
    <col min="7937" max="7937" width="7.1796875" style="520" customWidth="1"/>
    <col min="7938" max="7938" width="39.54296875" style="520" customWidth="1"/>
    <col min="7939" max="7939" width="11.453125" style="520" customWidth="1"/>
    <col min="7940" max="7940" width="10.1796875" style="520" bestFit="1" customWidth="1"/>
    <col min="7941" max="7941" width="8.453125" style="520" bestFit="1" customWidth="1"/>
    <col min="7942" max="7942" width="7.54296875" style="520" bestFit="1" customWidth="1"/>
    <col min="7943" max="7943" width="11" style="520" bestFit="1" customWidth="1"/>
    <col min="7944" max="7944" width="10.7265625" style="520" bestFit="1" customWidth="1"/>
    <col min="7945" max="7945" width="6.1796875" style="520" customWidth="1"/>
    <col min="7946" max="7946" width="16.26953125" style="520" customWidth="1"/>
    <col min="7947" max="7988" width="9.1796875" style="520" customWidth="1"/>
    <col min="7989" max="8192" width="9.1796875" style="520"/>
    <col min="8193" max="8193" width="7.1796875" style="520" customWidth="1"/>
    <col min="8194" max="8194" width="39.54296875" style="520" customWidth="1"/>
    <col min="8195" max="8195" width="11.453125" style="520" customWidth="1"/>
    <col min="8196" max="8196" width="10.1796875" style="520" bestFit="1" customWidth="1"/>
    <col min="8197" max="8197" width="8.453125" style="520" bestFit="1" customWidth="1"/>
    <col min="8198" max="8198" width="7.54296875" style="520" bestFit="1" customWidth="1"/>
    <col min="8199" max="8199" width="11" style="520" bestFit="1" customWidth="1"/>
    <col min="8200" max="8200" width="10.7265625" style="520" bestFit="1" customWidth="1"/>
    <col min="8201" max="8201" width="6.1796875" style="520" customWidth="1"/>
    <col min="8202" max="8202" width="16.26953125" style="520" customWidth="1"/>
    <col min="8203" max="8244" width="9.1796875" style="520" customWidth="1"/>
    <col min="8245" max="8448" width="9.1796875" style="520"/>
    <col min="8449" max="8449" width="7.1796875" style="520" customWidth="1"/>
    <col min="8450" max="8450" width="39.54296875" style="520" customWidth="1"/>
    <col min="8451" max="8451" width="11.453125" style="520" customWidth="1"/>
    <col min="8452" max="8452" width="10.1796875" style="520" bestFit="1" customWidth="1"/>
    <col min="8453" max="8453" width="8.453125" style="520" bestFit="1" customWidth="1"/>
    <col min="8454" max="8454" width="7.54296875" style="520" bestFit="1" customWidth="1"/>
    <col min="8455" max="8455" width="11" style="520" bestFit="1" customWidth="1"/>
    <col min="8456" max="8456" width="10.7265625" style="520" bestFit="1" customWidth="1"/>
    <col min="8457" max="8457" width="6.1796875" style="520" customWidth="1"/>
    <col min="8458" max="8458" width="16.26953125" style="520" customWidth="1"/>
    <col min="8459" max="8500" width="9.1796875" style="520" customWidth="1"/>
    <col min="8501" max="8704" width="9.1796875" style="520"/>
    <col min="8705" max="8705" width="7.1796875" style="520" customWidth="1"/>
    <col min="8706" max="8706" width="39.54296875" style="520" customWidth="1"/>
    <col min="8707" max="8707" width="11.453125" style="520" customWidth="1"/>
    <col min="8708" max="8708" width="10.1796875" style="520" bestFit="1" customWidth="1"/>
    <col min="8709" max="8709" width="8.453125" style="520" bestFit="1" customWidth="1"/>
    <col min="8710" max="8710" width="7.54296875" style="520" bestFit="1" customWidth="1"/>
    <col min="8711" max="8711" width="11" style="520" bestFit="1" customWidth="1"/>
    <col min="8712" max="8712" width="10.7265625" style="520" bestFit="1" customWidth="1"/>
    <col min="8713" max="8713" width="6.1796875" style="520" customWidth="1"/>
    <col min="8714" max="8714" width="16.26953125" style="520" customWidth="1"/>
    <col min="8715" max="8756" width="9.1796875" style="520" customWidth="1"/>
    <col min="8757" max="8960" width="9.1796875" style="520"/>
    <col min="8961" max="8961" width="7.1796875" style="520" customWidth="1"/>
    <col min="8962" max="8962" width="39.54296875" style="520" customWidth="1"/>
    <col min="8963" max="8963" width="11.453125" style="520" customWidth="1"/>
    <col min="8964" max="8964" width="10.1796875" style="520" bestFit="1" customWidth="1"/>
    <col min="8965" max="8965" width="8.453125" style="520" bestFit="1" customWidth="1"/>
    <col min="8966" max="8966" width="7.54296875" style="520" bestFit="1" customWidth="1"/>
    <col min="8967" max="8967" width="11" style="520" bestFit="1" customWidth="1"/>
    <col min="8968" max="8968" width="10.7265625" style="520" bestFit="1" customWidth="1"/>
    <col min="8969" max="8969" width="6.1796875" style="520" customWidth="1"/>
    <col min="8970" max="8970" width="16.26953125" style="520" customWidth="1"/>
    <col min="8971" max="9012" width="9.1796875" style="520" customWidth="1"/>
    <col min="9013" max="9216" width="9.1796875" style="520"/>
    <col min="9217" max="9217" width="7.1796875" style="520" customWidth="1"/>
    <col min="9218" max="9218" width="39.54296875" style="520" customWidth="1"/>
    <col min="9219" max="9219" width="11.453125" style="520" customWidth="1"/>
    <col min="9220" max="9220" width="10.1796875" style="520" bestFit="1" customWidth="1"/>
    <col min="9221" max="9221" width="8.453125" style="520" bestFit="1" customWidth="1"/>
    <col min="9222" max="9222" width="7.54296875" style="520" bestFit="1" customWidth="1"/>
    <col min="9223" max="9223" width="11" style="520" bestFit="1" customWidth="1"/>
    <col min="9224" max="9224" width="10.7265625" style="520" bestFit="1" customWidth="1"/>
    <col min="9225" max="9225" width="6.1796875" style="520" customWidth="1"/>
    <col min="9226" max="9226" width="16.26953125" style="520" customWidth="1"/>
    <col min="9227" max="9268" width="9.1796875" style="520" customWidth="1"/>
    <col min="9269" max="9472" width="9.1796875" style="520"/>
    <col min="9473" max="9473" width="7.1796875" style="520" customWidth="1"/>
    <col min="9474" max="9474" width="39.54296875" style="520" customWidth="1"/>
    <col min="9475" max="9475" width="11.453125" style="520" customWidth="1"/>
    <col min="9476" max="9476" width="10.1796875" style="520" bestFit="1" customWidth="1"/>
    <col min="9477" max="9477" width="8.453125" style="520" bestFit="1" customWidth="1"/>
    <col min="9478" max="9478" width="7.54296875" style="520" bestFit="1" customWidth="1"/>
    <col min="9479" max="9479" width="11" style="520" bestFit="1" customWidth="1"/>
    <col min="9480" max="9480" width="10.7265625" style="520" bestFit="1" customWidth="1"/>
    <col min="9481" max="9481" width="6.1796875" style="520" customWidth="1"/>
    <col min="9482" max="9482" width="16.26953125" style="520" customWidth="1"/>
    <col min="9483" max="9524" width="9.1796875" style="520" customWidth="1"/>
    <col min="9525" max="9728" width="9.1796875" style="520"/>
    <col min="9729" max="9729" width="7.1796875" style="520" customWidth="1"/>
    <col min="9730" max="9730" width="39.54296875" style="520" customWidth="1"/>
    <col min="9731" max="9731" width="11.453125" style="520" customWidth="1"/>
    <col min="9732" max="9732" width="10.1796875" style="520" bestFit="1" customWidth="1"/>
    <col min="9733" max="9733" width="8.453125" style="520" bestFit="1" customWidth="1"/>
    <col min="9734" max="9734" width="7.54296875" style="520" bestFit="1" customWidth="1"/>
    <col min="9735" max="9735" width="11" style="520" bestFit="1" customWidth="1"/>
    <col min="9736" max="9736" width="10.7265625" style="520" bestFit="1" customWidth="1"/>
    <col min="9737" max="9737" width="6.1796875" style="520" customWidth="1"/>
    <col min="9738" max="9738" width="16.26953125" style="520" customWidth="1"/>
    <col min="9739" max="9780" width="9.1796875" style="520" customWidth="1"/>
    <col min="9781" max="9984" width="9.1796875" style="520"/>
    <col min="9985" max="9985" width="7.1796875" style="520" customWidth="1"/>
    <col min="9986" max="9986" width="39.54296875" style="520" customWidth="1"/>
    <col min="9987" max="9987" width="11.453125" style="520" customWidth="1"/>
    <col min="9988" max="9988" width="10.1796875" style="520" bestFit="1" customWidth="1"/>
    <col min="9989" max="9989" width="8.453125" style="520" bestFit="1" customWidth="1"/>
    <col min="9990" max="9990" width="7.54296875" style="520" bestFit="1" customWidth="1"/>
    <col min="9991" max="9991" width="11" style="520" bestFit="1" customWidth="1"/>
    <col min="9992" max="9992" width="10.7265625" style="520" bestFit="1" customWidth="1"/>
    <col min="9993" max="9993" width="6.1796875" style="520" customWidth="1"/>
    <col min="9994" max="9994" width="16.26953125" style="520" customWidth="1"/>
    <col min="9995" max="10036" width="9.1796875" style="520" customWidth="1"/>
    <col min="10037" max="10240" width="9.1796875" style="520"/>
    <col min="10241" max="10241" width="7.1796875" style="520" customWidth="1"/>
    <col min="10242" max="10242" width="39.54296875" style="520" customWidth="1"/>
    <col min="10243" max="10243" width="11.453125" style="520" customWidth="1"/>
    <col min="10244" max="10244" width="10.1796875" style="520" bestFit="1" customWidth="1"/>
    <col min="10245" max="10245" width="8.453125" style="520" bestFit="1" customWidth="1"/>
    <col min="10246" max="10246" width="7.54296875" style="520" bestFit="1" customWidth="1"/>
    <col min="10247" max="10247" width="11" style="520" bestFit="1" customWidth="1"/>
    <col min="10248" max="10248" width="10.7265625" style="520" bestFit="1" customWidth="1"/>
    <col min="10249" max="10249" width="6.1796875" style="520" customWidth="1"/>
    <col min="10250" max="10250" width="16.26953125" style="520" customWidth="1"/>
    <col min="10251" max="10292" width="9.1796875" style="520" customWidth="1"/>
    <col min="10293" max="10496" width="9.1796875" style="520"/>
    <col min="10497" max="10497" width="7.1796875" style="520" customWidth="1"/>
    <col min="10498" max="10498" width="39.54296875" style="520" customWidth="1"/>
    <col min="10499" max="10499" width="11.453125" style="520" customWidth="1"/>
    <col min="10500" max="10500" width="10.1796875" style="520" bestFit="1" customWidth="1"/>
    <col min="10501" max="10501" width="8.453125" style="520" bestFit="1" customWidth="1"/>
    <col min="10502" max="10502" width="7.54296875" style="520" bestFit="1" customWidth="1"/>
    <col min="10503" max="10503" width="11" style="520" bestFit="1" customWidth="1"/>
    <col min="10504" max="10504" width="10.7265625" style="520" bestFit="1" customWidth="1"/>
    <col min="10505" max="10505" width="6.1796875" style="520" customWidth="1"/>
    <col min="10506" max="10506" width="16.26953125" style="520" customWidth="1"/>
    <col min="10507" max="10548" width="9.1796875" style="520" customWidth="1"/>
    <col min="10549" max="10752" width="9.1796875" style="520"/>
    <col min="10753" max="10753" width="7.1796875" style="520" customWidth="1"/>
    <col min="10754" max="10754" width="39.54296875" style="520" customWidth="1"/>
    <col min="10755" max="10755" width="11.453125" style="520" customWidth="1"/>
    <col min="10756" max="10756" width="10.1796875" style="520" bestFit="1" customWidth="1"/>
    <col min="10757" max="10757" width="8.453125" style="520" bestFit="1" customWidth="1"/>
    <col min="10758" max="10758" width="7.54296875" style="520" bestFit="1" customWidth="1"/>
    <col min="10759" max="10759" width="11" style="520" bestFit="1" customWidth="1"/>
    <col min="10760" max="10760" width="10.7265625" style="520" bestFit="1" customWidth="1"/>
    <col min="10761" max="10761" width="6.1796875" style="520" customWidth="1"/>
    <col min="10762" max="10762" width="16.26953125" style="520" customWidth="1"/>
    <col min="10763" max="10804" width="9.1796875" style="520" customWidth="1"/>
    <col min="10805" max="11008" width="9.1796875" style="520"/>
    <col min="11009" max="11009" width="7.1796875" style="520" customWidth="1"/>
    <col min="11010" max="11010" width="39.54296875" style="520" customWidth="1"/>
    <col min="11011" max="11011" width="11.453125" style="520" customWidth="1"/>
    <col min="11012" max="11012" width="10.1796875" style="520" bestFit="1" customWidth="1"/>
    <col min="11013" max="11013" width="8.453125" style="520" bestFit="1" customWidth="1"/>
    <col min="11014" max="11014" width="7.54296875" style="520" bestFit="1" customWidth="1"/>
    <col min="11015" max="11015" width="11" style="520" bestFit="1" customWidth="1"/>
    <col min="11016" max="11016" width="10.7265625" style="520" bestFit="1" customWidth="1"/>
    <col min="11017" max="11017" width="6.1796875" style="520" customWidth="1"/>
    <col min="11018" max="11018" width="16.26953125" style="520" customWidth="1"/>
    <col min="11019" max="11060" width="9.1796875" style="520" customWidth="1"/>
    <col min="11061" max="11264" width="9.1796875" style="520"/>
    <col min="11265" max="11265" width="7.1796875" style="520" customWidth="1"/>
    <col min="11266" max="11266" width="39.54296875" style="520" customWidth="1"/>
    <col min="11267" max="11267" width="11.453125" style="520" customWidth="1"/>
    <col min="11268" max="11268" width="10.1796875" style="520" bestFit="1" customWidth="1"/>
    <col min="11269" max="11269" width="8.453125" style="520" bestFit="1" customWidth="1"/>
    <col min="11270" max="11270" width="7.54296875" style="520" bestFit="1" customWidth="1"/>
    <col min="11271" max="11271" width="11" style="520" bestFit="1" customWidth="1"/>
    <col min="11272" max="11272" width="10.7265625" style="520" bestFit="1" customWidth="1"/>
    <col min="11273" max="11273" width="6.1796875" style="520" customWidth="1"/>
    <col min="11274" max="11274" width="16.26953125" style="520" customWidth="1"/>
    <col min="11275" max="11316" width="9.1796875" style="520" customWidth="1"/>
    <col min="11317" max="11520" width="9.1796875" style="520"/>
    <col min="11521" max="11521" width="7.1796875" style="520" customWidth="1"/>
    <col min="11522" max="11522" width="39.54296875" style="520" customWidth="1"/>
    <col min="11523" max="11523" width="11.453125" style="520" customWidth="1"/>
    <col min="11524" max="11524" width="10.1796875" style="520" bestFit="1" customWidth="1"/>
    <col min="11525" max="11525" width="8.453125" style="520" bestFit="1" customWidth="1"/>
    <col min="11526" max="11526" width="7.54296875" style="520" bestFit="1" customWidth="1"/>
    <col min="11527" max="11527" width="11" style="520" bestFit="1" customWidth="1"/>
    <col min="11528" max="11528" width="10.7265625" style="520" bestFit="1" customWidth="1"/>
    <col min="11529" max="11529" width="6.1796875" style="520" customWidth="1"/>
    <col min="11530" max="11530" width="16.26953125" style="520" customWidth="1"/>
    <col min="11531" max="11572" width="9.1796875" style="520" customWidth="1"/>
    <col min="11573" max="11776" width="9.1796875" style="520"/>
    <col min="11777" max="11777" width="7.1796875" style="520" customWidth="1"/>
    <col min="11778" max="11778" width="39.54296875" style="520" customWidth="1"/>
    <col min="11779" max="11779" width="11.453125" style="520" customWidth="1"/>
    <col min="11780" max="11780" width="10.1796875" style="520" bestFit="1" customWidth="1"/>
    <col min="11781" max="11781" width="8.453125" style="520" bestFit="1" customWidth="1"/>
    <col min="11782" max="11782" width="7.54296875" style="520" bestFit="1" customWidth="1"/>
    <col min="11783" max="11783" width="11" style="520" bestFit="1" customWidth="1"/>
    <col min="11784" max="11784" width="10.7265625" style="520" bestFit="1" customWidth="1"/>
    <col min="11785" max="11785" width="6.1796875" style="520" customWidth="1"/>
    <col min="11786" max="11786" width="16.26953125" style="520" customWidth="1"/>
    <col min="11787" max="11828" width="9.1796875" style="520" customWidth="1"/>
    <col min="11829" max="12032" width="9.1796875" style="520"/>
    <col min="12033" max="12033" width="7.1796875" style="520" customWidth="1"/>
    <col min="12034" max="12034" width="39.54296875" style="520" customWidth="1"/>
    <col min="12035" max="12035" width="11.453125" style="520" customWidth="1"/>
    <col min="12036" max="12036" width="10.1796875" style="520" bestFit="1" customWidth="1"/>
    <col min="12037" max="12037" width="8.453125" style="520" bestFit="1" customWidth="1"/>
    <col min="12038" max="12038" width="7.54296875" style="520" bestFit="1" customWidth="1"/>
    <col min="12039" max="12039" width="11" style="520" bestFit="1" customWidth="1"/>
    <col min="12040" max="12040" width="10.7265625" style="520" bestFit="1" customWidth="1"/>
    <col min="12041" max="12041" width="6.1796875" style="520" customWidth="1"/>
    <col min="12042" max="12042" width="16.26953125" style="520" customWidth="1"/>
    <col min="12043" max="12084" width="9.1796875" style="520" customWidth="1"/>
    <col min="12085" max="12288" width="9.1796875" style="520"/>
    <col min="12289" max="12289" width="7.1796875" style="520" customWidth="1"/>
    <col min="12290" max="12290" width="39.54296875" style="520" customWidth="1"/>
    <col min="12291" max="12291" width="11.453125" style="520" customWidth="1"/>
    <col min="12292" max="12292" width="10.1796875" style="520" bestFit="1" customWidth="1"/>
    <col min="12293" max="12293" width="8.453125" style="520" bestFit="1" customWidth="1"/>
    <col min="12294" max="12294" width="7.54296875" style="520" bestFit="1" customWidth="1"/>
    <col min="12295" max="12295" width="11" style="520" bestFit="1" customWidth="1"/>
    <col min="12296" max="12296" width="10.7265625" style="520" bestFit="1" customWidth="1"/>
    <col min="12297" max="12297" width="6.1796875" style="520" customWidth="1"/>
    <col min="12298" max="12298" width="16.26953125" style="520" customWidth="1"/>
    <col min="12299" max="12340" width="9.1796875" style="520" customWidth="1"/>
    <col min="12341" max="12544" width="9.1796875" style="520"/>
    <col min="12545" max="12545" width="7.1796875" style="520" customWidth="1"/>
    <col min="12546" max="12546" width="39.54296875" style="520" customWidth="1"/>
    <col min="12547" max="12547" width="11.453125" style="520" customWidth="1"/>
    <col min="12548" max="12548" width="10.1796875" style="520" bestFit="1" customWidth="1"/>
    <col min="12549" max="12549" width="8.453125" style="520" bestFit="1" customWidth="1"/>
    <col min="12550" max="12550" width="7.54296875" style="520" bestFit="1" customWidth="1"/>
    <col min="12551" max="12551" width="11" style="520" bestFit="1" customWidth="1"/>
    <col min="12552" max="12552" width="10.7265625" style="520" bestFit="1" customWidth="1"/>
    <col min="12553" max="12553" width="6.1796875" style="520" customWidth="1"/>
    <col min="12554" max="12554" width="16.26953125" style="520" customWidth="1"/>
    <col min="12555" max="12596" width="9.1796875" style="520" customWidth="1"/>
    <col min="12597" max="12800" width="9.1796875" style="520"/>
    <col min="12801" max="12801" width="7.1796875" style="520" customWidth="1"/>
    <col min="12802" max="12802" width="39.54296875" style="520" customWidth="1"/>
    <col min="12803" max="12803" width="11.453125" style="520" customWidth="1"/>
    <col min="12804" max="12804" width="10.1796875" style="520" bestFit="1" customWidth="1"/>
    <col min="12805" max="12805" width="8.453125" style="520" bestFit="1" customWidth="1"/>
    <col min="12806" max="12806" width="7.54296875" style="520" bestFit="1" customWidth="1"/>
    <col min="12807" max="12807" width="11" style="520" bestFit="1" customWidth="1"/>
    <col min="12808" max="12808" width="10.7265625" style="520" bestFit="1" customWidth="1"/>
    <col min="12809" max="12809" width="6.1796875" style="520" customWidth="1"/>
    <col min="12810" max="12810" width="16.26953125" style="520" customWidth="1"/>
    <col min="12811" max="12852" width="9.1796875" style="520" customWidth="1"/>
    <col min="12853" max="13056" width="9.1796875" style="520"/>
    <col min="13057" max="13057" width="7.1796875" style="520" customWidth="1"/>
    <col min="13058" max="13058" width="39.54296875" style="520" customWidth="1"/>
    <col min="13059" max="13059" width="11.453125" style="520" customWidth="1"/>
    <col min="13060" max="13060" width="10.1796875" style="520" bestFit="1" customWidth="1"/>
    <col min="13061" max="13061" width="8.453125" style="520" bestFit="1" customWidth="1"/>
    <col min="13062" max="13062" width="7.54296875" style="520" bestFit="1" customWidth="1"/>
    <col min="13063" max="13063" width="11" style="520" bestFit="1" customWidth="1"/>
    <col min="13064" max="13064" width="10.7265625" style="520" bestFit="1" customWidth="1"/>
    <col min="13065" max="13065" width="6.1796875" style="520" customWidth="1"/>
    <col min="13066" max="13066" width="16.26953125" style="520" customWidth="1"/>
    <col min="13067" max="13108" width="9.1796875" style="520" customWidth="1"/>
    <col min="13109" max="13312" width="9.1796875" style="520"/>
    <col min="13313" max="13313" width="7.1796875" style="520" customWidth="1"/>
    <col min="13314" max="13314" width="39.54296875" style="520" customWidth="1"/>
    <col min="13315" max="13315" width="11.453125" style="520" customWidth="1"/>
    <col min="13316" max="13316" width="10.1796875" style="520" bestFit="1" customWidth="1"/>
    <col min="13317" max="13317" width="8.453125" style="520" bestFit="1" customWidth="1"/>
    <col min="13318" max="13318" width="7.54296875" style="520" bestFit="1" customWidth="1"/>
    <col min="13319" max="13319" width="11" style="520" bestFit="1" customWidth="1"/>
    <col min="13320" max="13320" width="10.7265625" style="520" bestFit="1" customWidth="1"/>
    <col min="13321" max="13321" width="6.1796875" style="520" customWidth="1"/>
    <col min="13322" max="13322" width="16.26953125" style="520" customWidth="1"/>
    <col min="13323" max="13364" width="9.1796875" style="520" customWidth="1"/>
    <col min="13365" max="13568" width="9.1796875" style="520"/>
    <col min="13569" max="13569" width="7.1796875" style="520" customWidth="1"/>
    <col min="13570" max="13570" width="39.54296875" style="520" customWidth="1"/>
    <col min="13571" max="13571" width="11.453125" style="520" customWidth="1"/>
    <col min="13572" max="13572" width="10.1796875" style="520" bestFit="1" customWidth="1"/>
    <col min="13573" max="13573" width="8.453125" style="520" bestFit="1" customWidth="1"/>
    <col min="13574" max="13574" width="7.54296875" style="520" bestFit="1" customWidth="1"/>
    <col min="13575" max="13575" width="11" style="520" bestFit="1" customWidth="1"/>
    <col min="13576" max="13576" width="10.7265625" style="520" bestFit="1" customWidth="1"/>
    <col min="13577" max="13577" width="6.1796875" style="520" customWidth="1"/>
    <col min="13578" max="13578" width="16.26953125" style="520" customWidth="1"/>
    <col min="13579" max="13620" width="9.1796875" style="520" customWidth="1"/>
    <col min="13621" max="13824" width="9.1796875" style="520"/>
    <col min="13825" max="13825" width="7.1796875" style="520" customWidth="1"/>
    <col min="13826" max="13826" width="39.54296875" style="520" customWidth="1"/>
    <col min="13827" max="13827" width="11.453125" style="520" customWidth="1"/>
    <col min="13828" max="13828" width="10.1796875" style="520" bestFit="1" customWidth="1"/>
    <col min="13829" max="13829" width="8.453125" style="520" bestFit="1" customWidth="1"/>
    <col min="13830" max="13830" width="7.54296875" style="520" bestFit="1" customWidth="1"/>
    <col min="13831" max="13831" width="11" style="520" bestFit="1" customWidth="1"/>
    <col min="13832" max="13832" width="10.7265625" style="520" bestFit="1" customWidth="1"/>
    <col min="13833" max="13833" width="6.1796875" style="520" customWidth="1"/>
    <col min="13834" max="13834" width="16.26953125" style="520" customWidth="1"/>
    <col min="13835" max="13876" width="9.1796875" style="520" customWidth="1"/>
    <col min="13877" max="14080" width="9.1796875" style="520"/>
    <col min="14081" max="14081" width="7.1796875" style="520" customWidth="1"/>
    <col min="14082" max="14082" width="39.54296875" style="520" customWidth="1"/>
    <col min="14083" max="14083" width="11.453125" style="520" customWidth="1"/>
    <col min="14084" max="14084" width="10.1796875" style="520" bestFit="1" customWidth="1"/>
    <col min="14085" max="14085" width="8.453125" style="520" bestFit="1" customWidth="1"/>
    <col min="14086" max="14086" width="7.54296875" style="520" bestFit="1" customWidth="1"/>
    <col min="14087" max="14087" width="11" style="520" bestFit="1" customWidth="1"/>
    <col min="14088" max="14088" width="10.7265625" style="520" bestFit="1" customWidth="1"/>
    <col min="14089" max="14089" width="6.1796875" style="520" customWidth="1"/>
    <col min="14090" max="14090" width="16.26953125" style="520" customWidth="1"/>
    <col min="14091" max="14132" width="9.1796875" style="520" customWidth="1"/>
    <col min="14133" max="14336" width="9.1796875" style="520"/>
    <col min="14337" max="14337" width="7.1796875" style="520" customWidth="1"/>
    <col min="14338" max="14338" width="39.54296875" style="520" customWidth="1"/>
    <col min="14339" max="14339" width="11.453125" style="520" customWidth="1"/>
    <col min="14340" max="14340" width="10.1796875" style="520" bestFit="1" customWidth="1"/>
    <col min="14341" max="14341" width="8.453125" style="520" bestFit="1" customWidth="1"/>
    <col min="14342" max="14342" width="7.54296875" style="520" bestFit="1" customWidth="1"/>
    <col min="14343" max="14343" width="11" style="520" bestFit="1" customWidth="1"/>
    <col min="14344" max="14344" width="10.7265625" style="520" bestFit="1" customWidth="1"/>
    <col min="14345" max="14345" width="6.1796875" style="520" customWidth="1"/>
    <col min="14346" max="14346" width="16.26953125" style="520" customWidth="1"/>
    <col min="14347" max="14388" width="9.1796875" style="520" customWidth="1"/>
    <col min="14389" max="14592" width="9.1796875" style="520"/>
    <col min="14593" max="14593" width="7.1796875" style="520" customWidth="1"/>
    <col min="14594" max="14594" width="39.54296875" style="520" customWidth="1"/>
    <col min="14595" max="14595" width="11.453125" style="520" customWidth="1"/>
    <col min="14596" max="14596" width="10.1796875" style="520" bestFit="1" customWidth="1"/>
    <col min="14597" max="14597" width="8.453125" style="520" bestFit="1" customWidth="1"/>
    <col min="14598" max="14598" width="7.54296875" style="520" bestFit="1" customWidth="1"/>
    <col min="14599" max="14599" width="11" style="520" bestFit="1" customWidth="1"/>
    <col min="14600" max="14600" width="10.7265625" style="520" bestFit="1" customWidth="1"/>
    <col min="14601" max="14601" width="6.1796875" style="520" customWidth="1"/>
    <col min="14602" max="14602" width="16.26953125" style="520" customWidth="1"/>
    <col min="14603" max="14644" width="9.1796875" style="520" customWidth="1"/>
    <col min="14645" max="14848" width="9.1796875" style="520"/>
    <col min="14849" max="14849" width="7.1796875" style="520" customWidth="1"/>
    <col min="14850" max="14850" width="39.54296875" style="520" customWidth="1"/>
    <col min="14851" max="14851" width="11.453125" style="520" customWidth="1"/>
    <col min="14852" max="14852" width="10.1796875" style="520" bestFit="1" customWidth="1"/>
    <col min="14853" max="14853" width="8.453125" style="520" bestFit="1" customWidth="1"/>
    <col min="14854" max="14854" width="7.54296875" style="520" bestFit="1" customWidth="1"/>
    <col min="14855" max="14855" width="11" style="520" bestFit="1" customWidth="1"/>
    <col min="14856" max="14856" width="10.7265625" style="520" bestFit="1" customWidth="1"/>
    <col min="14857" max="14857" width="6.1796875" style="520" customWidth="1"/>
    <col min="14858" max="14858" width="16.26953125" style="520" customWidth="1"/>
    <col min="14859" max="14900" width="9.1796875" style="520" customWidth="1"/>
    <col min="14901" max="15104" width="9.1796875" style="520"/>
    <col min="15105" max="15105" width="7.1796875" style="520" customWidth="1"/>
    <col min="15106" max="15106" width="39.54296875" style="520" customWidth="1"/>
    <col min="15107" max="15107" width="11.453125" style="520" customWidth="1"/>
    <col min="15108" max="15108" width="10.1796875" style="520" bestFit="1" customWidth="1"/>
    <col min="15109" max="15109" width="8.453125" style="520" bestFit="1" customWidth="1"/>
    <col min="15110" max="15110" width="7.54296875" style="520" bestFit="1" customWidth="1"/>
    <col min="15111" max="15111" width="11" style="520" bestFit="1" customWidth="1"/>
    <col min="15112" max="15112" width="10.7265625" style="520" bestFit="1" customWidth="1"/>
    <col min="15113" max="15113" width="6.1796875" style="520" customWidth="1"/>
    <col min="15114" max="15114" width="16.26953125" style="520" customWidth="1"/>
    <col min="15115" max="15156" width="9.1796875" style="520" customWidth="1"/>
    <col min="15157" max="15360" width="9.1796875" style="520"/>
    <col min="15361" max="15361" width="7.1796875" style="520" customWidth="1"/>
    <col min="15362" max="15362" width="39.54296875" style="520" customWidth="1"/>
    <col min="15363" max="15363" width="11.453125" style="520" customWidth="1"/>
    <col min="15364" max="15364" width="10.1796875" style="520" bestFit="1" customWidth="1"/>
    <col min="15365" max="15365" width="8.453125" style="520" bestFit="1" customWidth="1"/>
    <col min="15366" max="15366" width="7.54296875" style="520" bestFit="1" customWidth="1"/>
    <col min="15367" max="15367" width="11" style="520" bestFit="1" customWidth="1"/>
    <col min="15368" max="15368" width="10.7265625" style="520" bestFit="1" customWidth="1"/>
    <col min="15369" max="15369" width="6.1796875" style="520" customWidth="1"/>
    <col min="15370" max="15370" width="16.26953125" style="520" customWidth="1"/>
    <col min="15371" max="15412" width="9.1796875" style="520" customWidth="1"/>
    <col min="15413" max="15616" width="9.1796875" style="520"/>
    <col min="15617" max="15617" width="7.1796875" style="520" customWidth="1"/>
    <col min="15618" max="15618" width="39.54296875" style="520" customWidth="1"/>
    <col min="15619" max="15619" width="11.453125" style="520" customWidth="1"/>
    <col min="15620" max="15620" width="10.1796875" style="520" bestFit="1" customWidth="1"/>
    <col min="15621" max="15621" width="8.453125" style="520" bestFit="1" customWidth="1"/>
    <col min="15622" max="15622" width="7.54296875" style="520" bestFit="1" customWidth="1"/>
    <col min="15623" max="15623" width="11" style="520" bestFit="1" customWidth="1"/>
    <col min="15624" max="15624" width="10.7265625" style="520" bestFit="1" customWidth="1"/>
    <col min="15625" max="15625" width="6.1796875" style="520" customWidth="1"/>
    <col min="15626" max="15626" width="16.26953125" style="520" customWidth="1"/>
    <col min="15627" max="15668" width="9.1796875" style="520" customWidth="1"/>
    <col min="15669" max="15872" width="9.1796875" style="520"/>
    <col min="15873" max="15873" width="7.1796875" style="520" customWidth="1"/>
    <col min="15874" max="15874" width="39.54296875" style="520" customWidth="1"/>
    <col min="15875" max="15875" width="11.453125" style="520" customWidth="1"/>
    <col min="15876" max="15876" width="10.1796875" style="520" bestFit="1" customWidth="1"/>
    <col min="15877" max="15877" width="8.453125" style="520" bestFit="1" customWidth="1"/>
    <col min="15878" max="15878" width="7.54296875" style="520" bestFit="1" customWidth="1"/>
    <col min="15879" max="15879" width="11" style="520" bestFit="1" customWidth="1"/>
    <col min="15880" max="15880" width="10.7265625" style="520" bestFit="1" customWidth="1"/>
    <col min="15881" max="15881" width="6.1796875" style="520" customWidth="1"/>
    <col min="15882" max="15882" width="16.26953125" style="520" customWidth="1"/>
    <col min="15883" max="15924" width="9.1796875" style="520" customWidth="1"/>
    <col min="15925" max="16128" width="9.1796875" style="520"/>
    <col min="16129" max="16129" width="7.1796875" style="520" customWidth="1"/>
    <col min="16130" max="16130" width="39.54296875" style="520" customWidth="1"/>
    <col min="16131" max="16131" width="11.453125" style="520" customWidth="1"/>
    <col min="16132" max="16132" width="10.1796875" style="520" bestFit="1" customWidth="1"/>
    <col min="16133" max="16133" width="8.453125" style="520" bestFit="1" customWidth="1"/>
    <col min="16134" max="16134" width="7.54296875" style="520" bestFit="1" customWidth="1"/>
    <col min="16135" max="16135" width="11" style="520" bestFit="1" customWidth="1"/>
    <col min="16136" max="16136" width="10.7265625" style="520" bestFit="1" customWidth="1"/>
    <col min="16137" max="16137" width="6.1796875" style="520" customWidth="1"/>
    <col min="16138" max="16138" width="16.26953125" style="520" customWidth="1"/>
    <col min="16139" max="16180" width="9.1796875" style="520" customWidth="1"/>
    <col min="16181" max="16384" width="9.1796875" style="520"/>
  </cols>
  <sheetData>
    <row r="1" spans="1:52" s="510" customFormat="1" ht="15.5">
      <c r="C1" s="581"/>
      <c r="D1" s="581"/>
      <c r="E1" s="581"/>
      <c r="F1" s="578" t="s">
        <v>196</v>
      </c>
      <c r="H1" s="501"/>
    </row>
    <row r="2" spans="1:52" s="501" customFormat="1" ht="20">
      <c r="A2" s="512" t="s">
        <v>224</v>
      </c>
      <c r="B2" s="582"/>
      <c r="C2" s="515"/>
      <c r="D2" s="515"/>
      <c r="E2" s="515"/>
      <c r="F2" s="578" t="s">
        <v>258</v>
      </c>
    </row>
    <row r="3" spans="1:52" ht="15.75" customHeight="1">
      <c r="B3" s="583"/>
      <c r="C3" s="583"/>
      <c r="D3" s="583"/>
      <c r="E3" s="583"/>
      <c r="F3" s="584" t="s">
        <v>226</v>
      </c>
    </row>
    <row r="4" spans="1:52">
      <c r="A4" s="585" t="s">
        <v>197</v>
      </c>
      <c r="B4" s="586"/>
      <c r="C4" s="586"/>
      <c r="D4" s="586"/>
      <c r="E4" s="586"/>
      <c r="F4" s="586"/>
    </row>
    <row r="5" spans="1:52">
      <c r="A5" s="585" t="s">
        <v>198</v>
      </c>
    </row>
    <row r="7" spans="1:52" s="592" customFormat="1" ht="16.149999999999999" customHeight="1">
      <c r="A7" s="587" t="s">
        <v>199</v>
      </c>
      <c r="B7" s="588"/>
      <c r="C7" s="589" t="s">
        <v>227</v>
      </c>
      <c r="D7" s="590" t="s">
        <v>228</v>
      </c>
      <c r="E7" s="823"/>
      <c r="F7" s="824"/>
      <c r="G7" s="591" t="s">
        <v>200</v>
      </c>
      <c r="H7" s="501"/>
      <c r="I7" s="501"/>
    </row>
    <row r="8" spans="1:52" s="592" customFormat="1" ht="34.9" customHeight="1">
      <c r="A8" s="593" t="s">
        <v>229</v>
      </c>
      <c r="B8" s="587" t="s">
        <v>203</v>
      </c>
      <c r="C8" s="594" t="s">
        <v>259</v>
      </c>
      <c r="D8" s="595" t="s">
        <v>230</v>
      </c>
      <c r="E8" s="595" t="s">
        <v>231</v>
      </c>
      <c r="F8" s="595" t="s">
        <v>232</v>
      </c>
      <c r="G8" s="596" t="s">
        <v>268</v>
      </c>
      <c r="H8" s="501"/>
      <c r="I8" s="501"/>
    </row>
    <row r="9" spans="1:52" s="602" customFormat="1" ht="13">
      <c r="A9" s="597"/>
      <c r="B9" s="598"/>
      <c r="C9" s="599"/>
      <c r="D9" s="600"/>
      <c r="E9" s="601"/>
      <c r="F9" s="600"/>
      <c r="G9" s="599"/>
      <c r="H9" s="825" t="s">
        <v>233</v>
      </c>
      <c r="I9" s="825"/>
    </row>
    <row r="10" spans="1:52" s="608" customFormat="1">
      <c r="A10" s="603"/>
      <c r="B10" s="604" t="s">
        <v>205</v>
      </c>
      <c r="C10" s="605">
        <f>+C11+C13+C14</f>
        <v>962100</v>
      </c>
      <c r="D10" s="605">
        <f>+D11+D13+D14</f>
        <v>915000</v>
      </c>
      <c r="E10" s="605">
        <f>+E11+E13+E14</f>
        <v>12100</v>
      </c>
      <c r="F10" s="605">
        <f>+F11+F13+F14</f>
        <v>35000</v>
      </c>
      <c r="G10" s="605">
        <f>+G11+G13+G14</f>
        <v>606378.77999999991</v>
      </c>
      <c r="H10" s="606" t="s">
        <v>234</v>
      </c>
      <c r="I10" s="607" t="s">
        <v>56</v>
      </c>
      <c r="J10" s="501"/>
      <c r="K10" s="501"/>
      <c r="L10" s="501"/>
      <c r="M10" s="501"/>
      <c r="N10" s="501"/>
      <c r="O10" s="501"/>
      <c r="P10" s="501"/>
      <c r="Q10" s="501"/>
      <c r="R10" s="501"/>
      <c r="S10" s="501"/>
      <c r="T10" s="501"/>
      <c r="U10" s="501"/>
      <c r="V10" s="501"/>
      <c r="W10" s="501"/>
      <c r="X10" s="501"/>
      <c r="Y10" s="501"/>
      <c r="Z10" s="501"/>
      <c r="AA10" s="501"/>
      <c r="AB10" s="501"/>
      <c r="AC10" s="501"/>
      <c r="AD10" s="501"/>
      <c r="AE10" s="501"/>
      <c r="AF10" s="501"/>
      <c r="AG10" s="501"/>
      <c r="AH10" s="501"/>
      <c r="AI10" s="501"/>
      <c r="AJ10" s="501"/>
      <c r="AK10" s="501"/>
      <c r="AL10" s="501"/>
      <c r="AM10" s="501"/>
      <c r="AN10" s="501"/>
      <c r="AO10" s="501"/>
      <c r="AP10" s="501"/>
      <c r="AQ10" s="501"/>
      <c r="AR10" s="501"/>
      <c r="AS10" s="501"/>
      <c r="AT10" s="501"/>
      <c r="AU10" s="501"/>
      <c r="AV10" s="501"/>
      <c r="AW10" s="501"/>
      <c r="AX10" s="501"/>
      <c r="AY10" s="501"/>
      <c r="AZ10" s="501"/>
    </row>
    <row r="11" spans="1:52" s="501" customFormat="1" ht="13">
      <c r="A11" s="609">
        <v>3500</v>
      </c>
      <c r="B11" s="588" t="s">
        <v>206</v>
      </c>
      <c r="C11" s="588">
        <f>SUM(C12:C12)</f>
        <v>950000</v>
      </c>
      <c r="D11" s="588">
        <f>SUM(D12:D12)</f>
        <v>915000</v>
      </c>
      <c r="E11" s="588">
        <f>SUM(E12:E12)</f>
        <v>0</v>
      </c>
      <c r="F11" s="588">
        <f>SUM(F12:F12)</f>
        <v>35000</v>
      </c>
      <c r="G11" s="588">
        <f>SUM(G12:G12)</f>
        <v>595902</v>
      </c>
      <c r="H11" s="592">
        <f>+C11-G11</f>
        <v>354098</v>
      </c>
      <c r="I11" s="610">
        <f>+G11*100/C11</f>
        <v>62.726526315789471</v>
      </c>
    </row>
    <row r="12" spans="1:52" s="501" customFormat="1" ht="13">
      <c r="A12" s="611">
        <v>350000</v>
      </c>
      <c r="B12" s="612" t="s">
        <v>235</v>
      </c>
      <c r="C12" s="613">
        <v>950000</v>
      </c>
      <c r="D12" s="613">
        <f>+C12-F12</f>
        <v>915000</v>
      </c>
      <c r="E12" s="613"/>
      <c r="F12" s="613">
        <v>35000</v>
      </c>
      <c r="G12" s="613">
        <v>595902</v>
      </c>
      <c r="H12" s="592">
        <f>+C12-G12</f>
        <v>354098</v>
      </c>
      <c r="I12" s="614">
        <f>+G12*100/C12</f>
        <v>62.726526315789471</v>
      </c>
    </row>
    <row r="13" spans="1:52" s="592" customFormat="1" ht="26">
      <c r="A13" s="615">
        <v>3818</v>
      </c>
      <c r="B13" s="616" t="s">
        <v>261</v>
      </c>
      <c r="C13" s="631">
        <v>12000</v>
      </c>
      <c r="D13" s="588"/>
      <c r="E13" s="632">
        <v>12000</v>
      </c>
      <c r="F13" s="588"/>
      <c r="G13" s="588">
        <f>9567.29+908.65</f>
        <v>10475.94</v>
      </c>
      <c r="H13" s="592">
        <f>+C13-G13</f>
        <v>1524.0599999999995</v>
      </c>
      <c r="I13" s="614">
        <f>+G13*100/C13</f>
        <v>87.299499999999995</v>
      </c>
    </row>
    <row r="14" spans="1:52" s="592" customFormat="1" ht="13">
      <c r="A14" s="615">
        <v>6550</v>
      </c>
      <c r="B14" s="617" t="s">
        <v>210</v>
      </c>
      <c r="C14" s="588">
        <v>100</v>
      </c>
      <c r="D14" s="588"/>
      <c r="E14" s="613">
        <v>100</v>
      </c>
      <c r="F14" s="613"/>
      <c r="G14" s="588">
        <v>0.84</v>
      </c>
      <c r="H14" s="592">
        <f>+C14-G14</f>
        <v>99.16</v>
      </c>
      <c r="I14" s="614">
        <f>+G14*100/C14</f>
        <v>0.84</v>
      </c>
    </row>
    <row r="15" spans="1:52">
      <c r="A15" s="619"/>
      <c r="B15" s="573"/>
      <c r="C15" s="620"/>
      <c r="D15" s="620"/>
      <c r="E15" s="620"/>
      <c r="F15" s="620"/>
      <c r="G15" s="621"/>
      <c r="H15" s="592"/>
      <c r="I15" s="614"/>
    </row>
    <row r="16" spans="1:52" s="608" customFormat="1">
      <c r="A16" s="622"/>
      <c r="B16" s="604" t="s">
        <v>211</v>
      </c>
      <c r="C16" s="623">
        <f>+C17+C22</f>
        <v>953832.94</v>
      </c>
      <c r="D16" s="623">
        <f>+D17+D22</f>
        <v>915000</v>
      </c>
      <c r="E16" s="623">
        <f>+E17+E22</f>
        <v>3833</v>
      </c>
      <c r="F16" s="623">
        <f>+F17+F22</f>
        <v>34999.94</v>
      </c>
      <c r="G16" s="623">
        <f>+G17+G22+G20+G21</f>
        <v>629419.19999999995</v>
      </c>
      <c r="H16" s="592">
        <f>+C16-G16</f>
        <v>324413.74</v>
      </c>
      <c r="I16" s="614">
        <f t="shared" ref="I16:I39" si="0">+G16*100/C16</f>
        <v>65.988410926550713</v>
      </c>
      <c r="J16" s="501"/>
      <c r="K16" s="501"/>
      <c r="L16" s="501"/>
      <c r="M16" s="501"/>
      <c r="N16" s="501"/>
      <c r="O16" s="501"/>
      <c r="P16" s="501"/>
      <c r="Q16" s="501"/>
      <c r="R16" s="501"/>
      <c r="S16" s="501"/>
      <c r="T16" s="501"/>
      <c r="U16" s="501"/>
      <c r="V16" s="501"/>
      <c r="W16" s="501"/>
      <c r="X16" s="501"/>
      <c r="Y16" s="501"/>
      <c r="Z16" s="501"/>
      <c r="AA16" s="501"/>
      <c r="AB16" s="501"/>
      <c r="AC16" s="501"/>
      <c r="AD16" s="501"/>
      <c r="AE16" s="501"/>
      <c r="AF16" s="501"/>
      <c r="AG16" s="501"/>
      <c r="AH16" s="501"/>
      <c r="AI16" s="501"/>
      <c r="AJ16" s="501"/>
      <c r="AK16" s="501"/>
      <c r="AL16" s="501"/>
      <c r="AM16" s="501"/>
      <c r="AN16" s="501"/>
      <c r="AO16" s="501"/>
      <c r="AP16" s="501"/>
      <c r="AQ16" s="501"/>
      <c r="AR16" s="501"/>
      <c r="AS16" s="501"/>
      <c r="AT16" s="501"/>
      <c r="AU16" s="501"/>
      <c r="AV16" s="501"/>
      <c r="AW16" s="501"/>
      <c r="AX16" s="501"/>
      <c r="AY16" s="501"/>
      <c r="AZ16" s="501"/>
    </row>
    <row r="17" spans="1:12" s="501" customFormat="1" ht="13">
      <c r="A17" s="615">
        <v>4500</v>
      </c>
      <c r="B17" s="616" t="s">
        <v>236</v>
      </c>
      <c r="C17" s="588">
        <f>SUM(C18:C19)</f>
        <v>915000</v>
      </c>
      <c r="D17" s="588">
        <f>SUM(D18:D19)</f>
        <v>915000</v>
      </c>
      <c r="E17" s="588">
        <f>SUM(E18:E19)</f>
        <v>0</v>
      </c>
      <c r="F17" s="588">
        <f>SUM(F18:F19)</f>
        <v>0</v>
      </c>
      <c r="G17" s="588">
        <f>SUM(G18:G19)</f>
        <v>598899</v>
      </c>
      <c r="H17" s="592">
        <f>+C17-G17</f>
        <v>316101</v>
      </c>
      <c r="I17" s="614">
        <f t="shared" si="0"/>
        <v>65.453442622950817</v>
      </c>
    </row>
    <row r="18" spans="1:12" s="501" customFormat="1" ht="25">
      <c r="A18" s="624">
        <v>450010</v>
      </c>
      <c r="B18" s="624" t="s">
        <v>262</v>
      </c>
      <c r="C18" s="613">
        <v>915000</v>
      </c>
      <c r="D18" s="613">
        <v>915000</v>
      </c>
      <c r="E18" s="613"/>
      <c r="F18" s="613"/>
      <c r="G18" s="613">
        <v>598899</v>
      </c>
      <c r="H18" s="501">
        <f>+C18-G18</f>
        <v>316101</v>
      </c>
      <c r="I18" s="614">
        <f t="shared" si="0"/>
        <v>65.453442622950817</v>
      </c>
    </row>
    <row r="19" spans="1:12" s="501" customFormat="1" ht="12.5">
      <c r="A19" s="624"/>
      <c r="B19" s="624" t="s">
        <v>237</v>
      </c>
      <c r="C19" s="613">
        <v>0</v>
      </c>
      <c r="D19" s="613">
        <v>0</v>
      </c>
      <c r="E19" s="613"/>
      <c r="F19" s="613"/>
      <c r="G19" s="613"/>
      <c r="H19" s="501">
        <f>+C19-G19</f>
        <v>0</v>
      </c>
      <c r="I19" s="614"/>
    </row>
    <row r="20" spans="1:12" s="592" customFormat="1" ht="13">
      <c r="A20" s="616">
        <v>450070</v>
      </c>
      <c r="B20" s="617" t="s">
        <v>238</v>
      </c>
      <c r="C20" s="588"/>
      <c r="D20" s="588"/>
      <c r="E20" s="588"/>
      <c r="F20" s="588"/>
      <c r="G20" s="625"/>
      <c r="I20" s="610"/>
    </row>
    <row r="21" spans="1:12" s="592" customFormat="1" ht="13">
      <c r="A21" s="616">
        <v>452900</v>
      </c>
      <c r="B21" s="617" t="s">
        <v>239</v>
      </c>
      <c r="C21" s="588"/>
      <c r="D21" s="588"/>
      <c r="E21" s="588"/>
      <c r="F21" s="588"/>
      <c r="G21" s="625"/>
      <c r="I21" s="610"/>
    </row>
    <row r="22" spans="1:12" s="501" customFormat="1" ht="13">
      <c r="A22" s="615">
        <v>5</v>
      </c>
      <c r="B22" s="617" t="s">
        <v>240</v>
      </c>
      <c r="C22" s="588">
        <f>+C23+C31</f>
        <v>38832.94</v>
      </c>
      <c r="D22" s="588"/>
      <c r="E22" s="588">
        <f>+E23+E31</f>
        <v>3833</v>
      </c>
      <c r="F22" s="588">
        <f>+F23+F31</f>
        <v>34999.94</v>
      </c>
      <c r="G22" s="626">
        <f>+G23+G31</f>
        <v>30520.2</v>
      </c>
      <c r="H22" s="592">
        <f t="shared" ref="H22:H42" si="1">+C22-G22</f>
        <v>8312.7400000000016</v>
      </c>
      <c r="I22" s="610">
        <f t="shared" si="0"/>
        <v>78.593585754774168</v>
      </c>
      <c r="K22" s="501">
        <v>367089</v>
      </c>
      <c r="L22" s="501">
        <f>+K22-C22-H22</f>
        <v>319943.32</v>
      </c>
    </row>
    <row r="23" spans="1:12" s="501" customFormat="1" ht="13">
      <c r="A23" s="615">
        <v>50</v>
      </c>
      <c r="B23" s="617" t="s">
        <v>241</v>
      </c>
      <c r="C23" s="588">
        <f>+C24+C28</f>
        <v>31586.940000000002</v>
      </c>
      <c r="D23" s="588"/>
      <c r="E23" s="588">
        <f>+E24+E28</f>
        <v>0</v>
      </c>
      <c r="F23" s="588">
        <f>+F24+F28</f>
        <v>31586.940000000002</v>
      </c>
      <c r="G23" s="626">
        <f>+G24+G28</f>
        <v>21157.84</v>
      </c>
      <c r="H23" s="592">
        <f t="shared" si="1"/>
        <v>10429.100000000002</v>
      </c>
      <c r="I23" s="610">
        <f t="shared" si="0"/>
        <v>66.982873301434068</v>
      </c>
    </row>
    <row r="24" spans="1:12" s="501" customFormat="1" ht="13">
      <c r="A24" s="615">
        <v>500</v>
      </c>
      <c r="B24" s="617" t="s">
        <v>242</v>
      </c>
      <c r="C24" s="588">
        <f>+C25</f>
        <v>23320</v>
      </c>
      <c r="D24" s="588"/>
      <c r="E24" s="588">
        <f>+E25</f>
        <v>0</v>
      </c>
      <c r="F24" s="588">
        <f>+F25</f>
        <v>23320</v>
      </c>
      <c r="G24" s="626">
        <f>+G25</f>
        <v>15880</v>
      </c>
      <c r="H24" s="592">
        <f t="shared" si="1"/>
        <v>7440</v>
      </c>
      <c r="I24" s="614">
        <f t="shared" si="0"/>
        <v>68.096054888507723</v>
      </c>
    </row>
    <row r="25" spans="1:12" s="501" customFormat="1" ht="13">
      <c r="A25" s="615">
        <v>5002</v>
      </c>
      <c r="B25" s="617" t="s">
        <v>243</v>
      </c>
      <c r="C25" s="588">
        <f>SUM(C26:C27)</f>
        <v>23320</v>
      </c>
      <c r="D25" s="588"/>
      <c r="E25" s="588">
        <f>SUM(E26:E27)</f>
        <v>0</v>
      </c>
      <c r="F25" s="588">
        <f>SUM(F26:F27)</f>
        <v>23320</v>
      </c>
      <c r="G25" s="626">
        <f>SUM(G26:G27)</f>
        <v>15880</v>
      </c>
      <c r="H25" s="592">
        <f t="shared" si="1"/>
        <v>7440</v>
      </c>
      <c r="I25" s="614">
        <f t="shared" si="0"/>
        <v>68.096054888507723</v>
      </c>
    </row>
    <row r="26" spans="1:12" s="501" customFormat="1" ht="12.5">
      <c r="A26" s="624">
        <v>500200</v>
      </c>
      <c r="B26" s="624" t="s">
        <v>244</v>
      </c>
      <c r="C26" s="613">
        <f>SUM(D26:F26)</f>
        <v>16800</v>
      </c>
      <c r="D26" s="613"/>
      <c r="E26" s="613">
        <v>0</v>
      </c>
      <c r="F26" s="613">
        <f>12*1400</f>
        <v>16800</v>
      </c>
      <c r="G26" s="627">
        <v>11200</v>
      </c>
      <c r="H26" s="501">
        <f t="shared" si="1"/>
        <v>5600</v>
      </c>
      <c r="I26" s="614">
        <f t="shared" si="0"/>
        <v>66.666666666666671</v>
      </c>
    </row>
    <row r="27" spans="1:12" s="501" customFormat="1" ht="25">
      <c r="A27" s="618">
        <v>500501</v>
      </c>
      <c r="B27" s="624" t="s">
        <v>245</v>
      </c>
      <c r="C27" s="613">
        <f>SUM(D27:F27)</f>
        <v>6520</v>
      </c>
      <c r="D27" s="613"/>
      <c r="E27" s="613">
        <f>0*272</f>
        <v>0</v>
      </c>
      <c r="F27" s="613">
        <f>12*460+1000</f>
        <v>6520</v>
      </c>
      <c r="G27" s="613">
        <v>4680</v>
      </c>
      <c r="H27" s="501">
        <f t="shared" si="1"/>
        <v>1840</v>
      </c>
      <c r="I27" s="614">
        <f t="shared" si="0"/>
        <v>71.779141104294482</v>
      </c>
    </row>
    <row r="28" spans="1:12" s="501" customFormat="1" ht="26">
      <c r="A28" s="615">
        <v>506</v>
      </c>
      <c r="B28" s="616" t="s">
        <v>217</v>
      </c>
      <c r="C28" s="588">
        <f>+C29+C30</f>
        <v>8266.94</v>
      </c>
      <c r="D28" s="588"/>
      <c r="E28" s="588">
        <f>+E29+E30</f>
        <v>0</v>
      </c>
      <c r="F28" s="588">
        <f>+F29+F30</f>
        <v>8266.94</v>
      </c>
      <c r="G28" s="626">
        <f>+G29+G30</f>
        <v>5277.8399999999992</v>
      </c>
      <c r="H28" s="592">
        <f t="shared" si="1"/>
        <v>2989.1000000000013</v>
      </c>
      <c r="I28" s="610">
        <f t="shared" si="0"/>
        <v>63.842727780774972</v>
      </c>
    </row>
    <row r="29" spans="1:12" s="501" customFormat="1" ht="12.5">
      <c r="A29" s="624">
        <v>506000</v>
      </c>
      <c r="B29" s="624" t="s">
        <v>218</v>
      </c>
      <c r="C29" s="613">
        <f>SUM(D29:F29)</f>
        <v>7695.6</v>
      </c>
      <c r="D29" s="613"/>
      <c r="E29" s="613">
        <f>+E25*0.33</f>
        <v>0</v>
      </c>
      <c r="F29" s="613">
        <f>+F25*0.33</f>
        <v>7695.6</v>
      </c>
      <c r="G29" s="627">
        <v>5240.3999999999996</v>
      </c>
      <c r="H29" s="501">
        <f t="shared" si="1"/>
        <v>2455.2000000000007</v>
      </c>
      <c r="I29" s="614">
        <f t="shared" si="0"/>
        <v>68.096054888507709</v>
      </c>
    </row>
    <row r="30" spans="1:12" s="501" customFormat="1" ht="12.5">
      <c r="A30" s="624">
        <v>506040</v>
      </c>
      <c r="B30" s="624" t="s">
        <v>219</v>
      </c>
      <c r="C30" s="613">
        <f>SUM(D30:F30)</f>
        <v>571.34</v>
      </c>
      <c r="D30" s="613"/>
      <c r="E30" s="613">
        <f>+E25*0.0245</f>
        <v>0</v>
      </c>
      <c r="F30" s="613">
        <f>+F25*0.0245</f>
        <v>571.34</v>
      </c>
      <c r="G30" s="627">
        <v>37.44</v>
      </c>
      <c r="H30" s="501">
        <f t="shared" si="1"/>
        <v>533.90000000000009</v>
      </c>
      <c r="I30" s="614">
        <f t="shared" si="0"/>
        <v>6.5530157174362023</v>
      </c>
    </row>
    <row r="31" spans="1:12" s="501" customFormat="1" ht="13">
      <c r="A31" s="615">
        <v>55</v>
      </c>
      <c r="B31" s="616" t="s">
        <v>246</v>
      </c>
      <c r="C31" s="588">
        <f>SUM(C32:C42)</f>
        <v>7246</v>
      </c>
      <c r="D31" s="588"/>
      <c r="E31" s="588">
        <f>SUM(E32:E42)</f>
        <v>3833</v>
      </c>
      <c r="F31" s="588">
        <f>SUM(F32:F42)</f>
        <v>3413</v>
      </c>
      <c r="G31" s="626">
        <f>SUM(G32:G42)</f>
        <v>9362.36</v>
      </c>
      <c r="H31" s="592">
        <f t="shared" si="1"/>
        <v>-2116.3600000000006</v>
      </c>
      <c r="I31" s="610">
        <f t="shared" si="0"/>
        <v>129.2072867789125</v>
      </c>
    </row>
    <row r="32" spans="1:12" s="501" customFormat="1" ht="12.5">
      <c r="A32" s="624">
        <v>550000</v>
      </c>
      <c r="B32" s="624" t="s">
        <v>247</v>
      </c>
      <c r="C32" s="613">
        <f t="shared" ref="C32:C42" si="2">SUM(D32:F32)</f>
        <v>1230</v>
      </c>
      <c r="D32" s="613"/>
      <c r="E32" s="613">
        <v>630</v>
      </c>
      <c r="F32" s="613">
        <v>600</v>
      </c>
      <c r="G32" s="627">
        <v>757.1</v>
      </c>
      <c r="H32" s="501">
        <f t="shared" si="1"/>
        <v>472.9</v>
      </c>
      <c r="I32" s="614">
        <f t="shared" si="0"/>
        <v>61.552845528455286</v>
      </c>
    </row>
    <row r="33" spans="1:9" s="501" customFormat="1" ht="12.5">
      <c r="A33" s="624">
        <v>550010</v>
      </c>
      <c r="B33" s="624" t="s">
        <v>248</v>
      </c>
      <c r="C33" s="613">
        <f t="shared" si="2"/>
        <v>616</v>
      </c>
      <c r="D33" s="613"/>
      <c r="E33" s="613">
        <v>266</v>
      </c>
      <c r="F33" s="613">
        <v>350</v>
      </c>
      <c r="G33" s="627">
        <v>261.88</v>
      </c>
      <c r="H33" s="501">
        <f t="shared" si="1"/>
        <v>354.12</v>
      </c>
      <c r="I33" s="614">
        <f t="shared" si="0"/>
        <v>42.512987012987011</v>
      </c>
    </row>
    <row r="34" spans="1:9" s="501" customFormat="1" ht="12.5">
      <c r="A34" s="624">
        <v>550011</v>
      </c>
      <c r="B34" s="624" t="s">
        <v>249</v>
      </c>
      <c r="C34" s="613">
        <f t="shared" si="2"/>
        <v>1100</v>
      </c>
      <c r="D34" s="613"/>
      <c r="E34" s="613">
        <v>1100</v>
      </c>
      <c r="F34" s="613">
        <v>0</v>
      </c>
      <c r="G34" s="627">
        <v>739.69</v>
      </c>
      <c r="H34" s="501">
        <f t="shared" si="1"/>
        <v>360.30999999999995</v>
      </c>
      <c r="I34" s="614">
        <f t="shared" si="0"/>
        <v>67.24454545454546</v>
      </c>
    </row>
    <row r="35" spans="1:9" s="501" customFormat="1" ht="12.5">
      <c r="A35" s="624">
        <v>550012</v>
      </c>
      <c r="B35" s="624" t="s">
        <v>250</v>
      </c>
      <c r="C35" s="613">
        <f t="shared" si="2"/>
        <v>0</v>
      </c>
      <c r="D35" s="613"/>
      <c r="E35" s="613">
        <v>0</v>
      </c>
      <c r="F35" s="613">
        <v>0</v>
      </c>
      <c r="G35" s="627"/>
      <c r="H35" s="501">
        <f t="shared" si="1"/>
        <v>0</v>
      </c>
      <c r="I35" s="614"/>
    </row>
    <row r="36" spans="1:9" s="501" customFormat="1" ht="12.5">
      <c r="A36" s="624">
        <v>550040</v>
      </c>
      <c r="B36" s="624" t="s">
        <v>251</v>
      </c>
      <c r="C36" s="613">
        <f t="shared" si="2"/>
        <v>150</v>
      </c>
      <c r="D36" s="613"/>
      <c r="E36" s="613">
        <v>0</v>
      </c>
      <c r="F36" s="613">
        <v>150</v>
      </c>
      <c r="G36" s="627">
        <v>30.3</v>
      </c>
      <c r="H36" s="501">
        <f t="shared" si="1"/>
        <v>119.7</v>
      </c>
      <c r="I36" s="614">
        <f t="shared" si="0"/>
        <v>20.2</v>
      </c>
    </row>
    <row r="37" spans="1:9" s="501" customFormat="1" ht="12.5">
      <c r="A37" s="624">
        <v>550051</v>
      </c>
      <c r="B37" s="624" t="s">
        <v>252</v>
      </c>
      <c r="C37" s="613">
        <f t="shared" si="2"/>
        <v>1500</v>
      </c>
      <c r="D37" s="613"/>
      <c r="E37" s="613">
        <v>0</v>
      </c>
      <c r="F37" s="613">
        <v>1500</v>
      </c>
      <c r="G37" s="627">
        <v>1024</v>
      </c>
      <c r="H37" s="501">
        <f t="shared" si="1"/>
        <v>476</v>
      </c>
      <c r="I37" s="614">
        <f t="shared" si="0"/>
        <v>68.266666666666666</v>
      </c>
    </row>
    <row r="38" spans="1:9" s="501" customFormat="1" ht="12.5">
      <c r="A38" s="624">
        <v>550302</v>
      </c>
      <c r="B38" s="624" t="s">
        <v>253</v>
      </c>
      <c r="C38" s="613">
        <f t="shared" si="2"/>
        <v>150</v>
      </c>
      <c r="D38" s="613"/>
      <c r="E38" s="613">
        <v>0</v>
      </c>
      <c r="F38" s="613">
        <v>150</v>
      </c>
      <c r="G38" s="627">
        <v>137.5</v>
      </c>
      <c r="H38" s="501">
        <f t="shared" si="1"/>
        <v>12.5</v>
      </c>
      <c r="I38" s="614">
        <f t="shared" si="0"/>
        <v>91.666666666666671</v>
      </c>
    </row>
    <row r="39" spans="1:9" s="501" customFormat="1" ht="12.5">
      <c r="A39" s="624">
        <v>550400</v>
      </c>
      <c r="B39" s="624" t="s">
        <v>254</v>
      </c>
      <c r="C39" s="613">
        <f t="shared" si="2"/>
        <v>0</v>
      </c>
      <c r="D39" s="613"/>
      <c r="E39" s="613">
        <v>0</v>
      </c>
      <c r="F39" s="613">
        <v>0</v>
      </c>
      <c r="G39" s="627">
        <v>45</v>
      </c>
      <c r="H39" s="501">
        <f t="shared" si="1"/>
        <v>-45</v>
      </c>
      <c r="I39" s="614" t="e">
        <f t="shared" si="0"/>
        <v>#DIV/0!</v>
      </c>
    </row>
    <row r="40" spans="1:9" s="501" customFormat="1" ht="12.5">
      <c r="A40" s="624">
        <v>551308</v>
      </c>
      <c r="B40" s="624" t="s">
        <v>255</v>
      </c>
      <c r="C40" s="613">
        <f>SUM(D40:F40)</f>
        <v>2500</v>
      </c>
      <c r="D40" s="613"/>
      <c r="E40" s="613">
        <v>1837</v>
      </c>
      <c r="F40" s="613">
        <v>663</v>
      </c>
      <c r="G40" s="627">
        <v>1314.5</v>
      </c>
      <c r="H40" s="501">
        <f>+C40-G40</f>
        <v>1185.5</v>
      </c>
      <c r="I40" s="614">
        <f>+G40*100/C40</f>
        <v>52.58</v>
      </c>
    </row>
    <row r="41" spans="1:9" s="501" customFormat="1" ht="25.5" thickBot="1">
      <c r="A41" s="624">
        <v>608090</v>
      </c>
      <c r="B41" s="624" t="s">
        <v>256</v>
      </c>
      <c r="C41" s="613">
        <f>SUM(D41:F41)</f>
        <v>0</v>
      </c>
      <c r="D41" s="613"/>
      <c r="E41" s="613">
        <v>0</v>
      </c>
      <c r="F41" s="613"/>
      <c r="G41" s="628">
        <f>3969</f>
        <v>3969</v>
      </c>
      <c r="H41" s="501">
        <f>+C41-G41</f>
        <v>-3969</v>
      </c>
      <c r="I41" s="614"/>
    </row>
    <row r="42" spans="1:9" s="501" customFormat="1" ht="13" thickBot="1">
      <c r="A42" s="624">
        <v>605030</v>
      </c>
      <c r="B42" s="624" t="s">
        <v>257</v>
      </c>
      <c r="C42" s="613">
        <f t="shared" si="2"/>
        <v>0</v>
      </c>
      <c r="D42" s="613"/>
      <c r="E42" s="613"/>
      <c r="F42" s="613"/>
      <c r="G42" s="628">
        <f>1083.39</f>
        <v>1083.3900000000001</v>
      </c>
      <c r="H42" s="501">
        <f t="shared" si="1"/>
        <v>-1083.3900000000001</v>
      </c>
      <c r="I42" s="614"/>
    </row>
    <row r="43" spans="1:9" s="501" customFormat="1" ht="12.5">
      <c r="A43" s="575"/>
    </row>
    <row r="44" spans="1:9" s="501" customFormat="1" ht="12.5">
      <c r="A44" s="575"/>
      <c r="C44" s="578"/>
      <c r="D44" s="578"/>
      <c r="E44" s="578"/>
      <c r="F44" s="578"/>
      <c r="G44" s="578"/>
    </row>
    <row r="45" spans="1:9" s="501" customFormat="1" ht="12.5">
      <c r="A45" s="575"/>
      <c r="B45" s="501" t="s">
        <v>189</v>
      </c>
      <c r="C45" s="578"/>
      <c r="D45" s="578"/>
      <c r="E45" s="578"/>
      <c r="F45" s="578"/>
      <c r="G45" s="578"/>
    </row>
    <row r="46" spans="1:9" s="501" customFormat="1" ht="12.5">
      <c r="A46" s="575"/>
      <c r="B46" s="501" t="s">
        <v>190</v>
      </c>
      <c r="C46" s="578"/>
      <c r="D46" s="578"/>
      <c r="E46" s="578"/>
      <c r="F46" s="578"/>
      <c r="G46" s="578"/>
    </row>
    <row r="47" spans="1:9" s="501" customFormat="1" ht="12.5">
      <c r="A47" s="575"/>
      <c r="C47" s="578"/>
      <c r="D47" s="578"/>
      <c r="E47" s="578"/>
      <c r="F47" s="578"/>
      <c r="G47" s="578"/>
    </row>
    <row r="48" spans="1:9" s="501" customFormat="1" ht="12.5">
      <c r="A48" s="575"/>
      <c r="C48" s="578"/>
      <c r="D48" s="578"/>
      <c r="E48" s="578"/>
      <c r="F48" s="578"/>
      <c r="G48" s="578"/>
    </row>
    <row r="49" spans="1:7" s="501" customFormat="1" ht="12.5">
      <c r="A49" s="575"/>
      <c r="C49" s="578"/>
      <c r="D49" s="578"/>
      <c r="E49" s="578"/>
      <c r="F49" s="578"/>
      <c r="G49" s="578"/>
    </row>
    <row r="50" spans="1:7" s="501" customFormat="1" ht="12.5">
      <c r="A50" s="575"/>
      <c r="C50" s="578"/>
      <c r="D50" s="578"/>
      <c r="E50" s="578"/>
      <c r="F50" s="578"/>
      <c r="G50" s="578"/>
    </row>
    <row r="51" spans="1:7" s="501" customFormat="1" ht="12.5">
      <c r="A51" s="579"/>
      <c r="C51" s="578"/>
      <c r="D51" s="578"/>
      <c r="E51" s="578"/>
      <c r="F51" s="578"/>
      <c r="G51" s="578"/>
    </row>
    <row r="52" spans="1:7" s="501" customFormat="1" ht="12.5">
      <c r="A52" s="579"/>
      <c r="C52" s="578"/>
      <c r="D52" s="578"/>
      <c r="E52" s="578"/>
      <c r="F52" s="578"/>
      <c r="G52" s="578"/>
    </row>
    <row r="53" spans="1:7" s="501" customFormat="1" ht="12.5">
      <c r="A53" s="579"/>
      <c r="C53" s="578"/>
      <c r="D53" s="578"/>
      <c r="E53" s="578"/>
      <c r="F53" s="578"/>
      <c r="G53" s="578"/>
    </row>
    <row r="54" spans="1:7" s="501" customFormat="1" ht="12.5">
      <c r="A54" s="579"/>
      <c r="C54" s="578"/>
      <c r="D54" s="578"/>
      <c r="E54" s="578"/>
      <c r="F54" s="578"/>
      <c r="G54" s="578"/>
    </row>
    <row r="55" spans="1:7" s="501" customFormat="1" ht="12.5">
      <c r="A55" s="579"/>
      <c r="C55" s="578"/>
      <c r="D55" s="578"/>
      <c r="E55" s="578"/>
      <c r="F55" s="578"/>
      <c r="G55" s="578"/>
    </row>
    <row r="56" spans="1:7" s="501" customFormat="1" ht="12.5">
      <c r="A56" s="579"/>
      <c r="C56" s="578"/>
      <c r="D56" s="578"/>
      <c r="E56" s="578"/>
      <c r="F56" s="578"/>
      <c r="G56" s="578"/>
    </row>
    <row r="57" spans="1:7" s="501" customFormat="1" ht="12.5">
      <c r="A57" s="579"/>
      <c r="C57" s="578"/>
      <c r="D57" s="578"/>
      <c r="E57" s="578"/>
      <c r="F57" s="578"/>
      <c r="G57" s="578"/>
    </row>
    <row r="58" spans="1:7" s="501" customFormat="1" ht="12.5">
      <c r="A58" s="579"/>
      <c r="C58" s="578"/>
      <c r="D58" s="578"/>
      <c r="E58" s="578"/>
      <c r="F58" s="578"/>
      <c r="G58" s="578"/>
    </row>
    <row r="59" spans="1:7" s="501" customFormat="1" ht="12.5">
      <c r="A59" s="579"/>
      <c r="C59" s="578"/>
      <c r="D59" s="578"/>
      <c r="E59" s="578"/>
      <c r="F59" s="578"/>
      <c r="G59" s="578"/>
    </row>
    <row r="60" spans="1:7" s="501" customFormat="1" ht="12.5">
      <c r="A60" s="579"/>
      <c r="C60" s="578"/>
      <c r="D60" s="578"/>
      <c r="E60" s="578"/>
      <c r="F60" s="578"/>
      <c r="G60" s="578"/>
    </row>
    <row r="61" spans="1:7" s="501" customFormat="1" ht="12.5">
      <c r="A61" s="579"/>
      <c r="C61" s="578"/>
      <c r="D61" s="578"/>
      <c r="E61" s="578"/>
      <c r="F61" s="578"/>
      <c r="G61" s="578"/>
    </row>
    <row r="62" spans="1:7" s="501" customFormat="1" ht="12.5">
      <c r="A62" s="579"/>
      <c r="C62" s="578"/>
      <c r="D62" s="578"/>
      <c r="E62" s="578"/>
      <c r="F62" s="578"/>
      <c r="G62" s="578"/>
    </row>
    <row r="63" spans="1:7" s="501" customFormat="1" ht="12.5">
      <c r="A63" s="579"/>
      <c r="C63" s="578"/>
      <c r="D63" s="578"/>
      <c r="E63" s="578"/>
      <c r="F63" s="578"/>
      <c r="G63" s="578"/>
    </row>
    <row r="64" spans="1:7" s="501" customFormat="1" ht="12.5">
      <c r="A64" s="579"/>
      <c r="C64" s="578"/>
      <c r="D64" s="578"/>
      <c r="E64" s="578"/>
      <c r="F64" s="578"/>
      <c r="G64" s="578"/>
    </row>
    <row r="65" spans="1:7" s="501" customFormat="1" ht="12.5">
      <c r="A65" s="579"/>
      <c r="C65" s="578"/>
      <c r="D65" s="578"/>
      <c r="E65" s="578"/>
      <c r="F65" s="578"/>
      <c r="G65" s="578"/>
    </row>
    <row r="66" spans="1:7" s="501" customFormat="1" ht="12.5">
      <c r="A66" s="579"/>
      <c r="C66" s="578"/>
      <c r="D66" s="578"/>
      <c r="E66" s="578"/>
      <c r="F66" s="578"/>
      <c r="G66" s="578"/>
    </row>
    <row r="67" spans="1:7" s="501" customFormat="1" ht="12.5">
      <c r="A67" s="579"/>
      <c r="C67" s="578"/>
      <c r="D67" s="578"/>
      <c r="E67" s="578"/>
      <c r="F67" s="578"/>
      <c r="G67" s="578"/>
    </row>
    <row r="68" spans="1:7" s="501" customFormat="1" ht="12.5">
      <c r="A68" s="579"/>
      <c r="C68" s="578"/>
      <c r="D68" s="578"/>
      <c r="E68" s="578"/>
      <c r="F68" s="578"/>
      <c r="G68" s="578"/>
    </row>
    <row r="69" spans="1:7" s="501" customFormat="1" ht="12.5">
      <c r="A69" s="579"/>
      <c r="C69" s="578"/>
      <c r="D69" s="578"/>
      <c r="E69" s="578"/>
      <c r="F69" s="578"/>
      <c r="G69" s="578"/>
    </row>
    <row r="70" spans="1:7" s="501" customFormat="1" ht="12.5">
      <c r="A70" s="579"/>
      <c r="C70" s="578"/>
      <c r="D70" s="578"/>
      <c r="E70" s="578"/>
      <c r="F70" s="578"/>
      <c r="G70" s="578"/>
    </row>
    <row r="71" spans="1:7" s="501" customFormat="1" ht="12.5">
      <c r="A71" s="579"/>
      <c r="C71" s="578"/>
      <c r="D71" s="578"/>
      <c r="E71" s="578"/>
      <c r="F71" s="578"/>
      <c r="G71" s="578"/>
    </row>
    <row r="72" spans="1:7" s="501" customFormat="1" ht="12.5">
      <c r="A72" s="579"/>
      <c r="C72" s="578"/>
      <c r="D72" s="578"/>
      <c r="E72" s="578"/>
      <c r="F72" s="578"/>
      <c r="G72" s="578"/>
    </row>
    <row r="73" spans="1:7" s="501" customFormat="1" ht="12.5">
      <c r="A73" s="579"/>
      <c r="C73" s="578"/>
      <c r="D73" s="578"/>
      <c r="E73" s="578"/>
      <c r="F73" s="578"/>
      <c r="G73" s="578"/>
    </row>
    <row r="74" spans="1:7" s="501" customFormat="1" ht="12.5">
      <c r="A74" s="579"/>
      <c r="C74" s="578"/>
      <c r="D74" s="578"/>
      <c r="E74" s="578"/>
      <c r="F74" s="578"/>
      <c r="G74" s="578"/>
    </row>
    <row r="75" spans="1:7" s="501" customFormat="1" ht="12.5">
      <c r="A75" s="579"/>
      <c r="C75" s="578"/>
      <c r="D75" s="578"/>
      <c r="E75" s="578"/>
      <c r="F75" s="578"/>
      <c r="G75" s="578"/>
    </row>
    <row r="76" spans="1:7" s="501" customFormat="1" ht="12.5">
      <c r="A76" s="579"/>
      <c r="C76" s="578"/>
      <c r="D76" s="578"/>
      <c r="E76" s="578"/>
      <c r="F76" s="578"/>
      <c r="G76" s="578"/>
    </row>
    <row r="77" spans="1:7" s="501" customFormat="1" ht="12.5">
      <c r="A77" s="579"/>
      <c r="C77" s="578"/>
      <c r="D77" s="578"/>
      <c r="E77" s="578"/>
      <c r="F77" s="578"/>
      <c r="G77" s="578"/>
    </row>
    <row r="78" spans="1:7" s="501" customFormat="1" ht="12.5">
      <c r="A78" s="579"/>
      <c r="C78" s="578"/>
      <c r="D78" s="578"/>
      <c r="E78" s="578"/>
      <c r="F78" s="578"/>
      <c r="G78" s="578"/>
    </row>
    <row r="79" spans="1:7" s="501" customFormat="1" ht="12.5">
      <c r="A79" s="579"/>
      <c r="C79" s="578"/>
      <c r="D79" s="578"/>
      <c r="E79" s="578"/>
      <c r="F79" s="578"/>
      <c r="G79" s="578"/>
    </row>
    <row r="80" spans="1:7" s="501" customFormat="1" ht="12.5">
      <c r="A80" s="579"/>
      <c r="C80" s="578"/>
      <c r="D80" s="578"/>
      <c r="E80" s="578"/>
      <c r="F80" s="578"/>
      <c r="G80" s="578"/>
    </row>
    <row r="81" spans="1:7" s="501" customFormat="1" ht="12.5">
      <c r="A81" s="579"/>
      <c r="C81" s="578"/>
      <c r="D81" s="578"/>
      <c r="E81" s="578"/>
      <c r="F81" s="578"/>
      <c r="G81" s="578"/>
    </row>
    <row r="82" spans="1:7" s="501" customFormat="1" ht="12.5">
      <c r="A82" s="579"/>
      <c r="C82" s="578"/>
      <c r="D82" s="578"/>
      <c r="E82" s="578"/>
      <c r="F82" s="578"/>
      <c r="G82" s="578"/>
    </row>
    <row r="83" spans="1:7" s="501" customFormat="1" ht="12.5">
      <c r="A83" s="579"/>
      <c r="C83" s="578"/>
      <c r="D83" s="578"/>
      <c r="E83" s="578"/>
      <c r="F83" s="578"/>
      <c r="G83" s="578"/>
    </row>
    <row r="84" spans="1:7" s="501" customFormat="1" ht="12.5">
      <c r="A84" s="579"/>
      <c r="C84" s="578"/>
      <c r="D84" s="578"/>
      <c r="E84" s="578"/>
      <c r="F84" s="578"/>
      <c r="G84" s="578"/>
    </row>
    <row r="85" spans="1:7" s="501" customFormat="1" ht="12.5">
      <c r="A85" s="579"/>
      <c r="C85" s="578"/>
      <c r="D85" s="578"/>
      <c r="E85" s="578"/>
      <c r="F85" s="578"/>
      <c r="G85" s="578"/>
    </row>
    <row r="86" spans="1:7" s="501" customFormat="1" ht="12.5">
      <c r="A86" s="579"/>
      <c r="C86" s="578"/>
      <c r="D86" s="578"/>
      <c r="E86" s="578"/>
      <c r="F86" s="578"/>
      <c r="G86" s="578"/>
    </row>
    <row r="87" spans="1:7" s="501" customFormat="1" ht="12.5">
      <c r="A87" s="579"/>
      <c r="C87" s="578"/>
      <c r="D87" s="578"/>
      <c r="E87" s="578"/>
      <c r="F87" s="578"/>
      <c r="G87" s="578"/>
    </row>
    <row r="88" spans="1:7" s="501" customFormat="1" ht="12.5">
      <c r="A88" s="579"/>
      <c r="C88" s="578"/>
      <c r="D88" s="578"/>
      <c r="E88" s="578"/>
      <c r="F88" s="578"/>
      <c r="G88" s="578"/>
    </row>
    <row r="89" spans="1:7" s="501" customFormat="1" ht="12.5">
      <c r="A89" s="579"/>
      <c r="C89" s="576"/>
      <c r="D89" s="576"/>
      <c r="E89" s="576"/>
      <c r="F89" s="576"/>
      <c r="G89" s="576"/>
    </row>
    <row r="90" spans="1:7" s="501" customFormat="1" ht="12.5">
      <c r="A90" s="579"/>
      <c r="C90" s="576"/>
      <c r="D90" s="576"/>
      <c r="E90" s="576"/>
      <c r="F90" s="576"/>
      <c r="G90" s="576"/>
    </row>
    <row r="91" spans="1:7" s="501" customFormat="1" ht="12.5">
      <c r="A91" s="579"/>
      <c r="C91" s="576"/>
      <c r="D91" s="576"/>
      <c r="E91" s="576"/>
      <c r="F91" s="576"/>
      <c r="G91" s="576"/>
    </row>
    <row r="92" spans="1:7" s="501" customFormat="1" ht="12.5">
      <c r="A92" s="579"/>
      <c r="C92" s="576"/>
      <c r="D92" s="576"/>
      <c r="E92" s="576"/>
      <c r="F92" s="576"/>
      <c r="G92" s="576"/>
    </row>
    <row r="93" spans="1:7" s="501" customFormat="1" ht="12.5">
      <c r="A93" s="579"/>
      <c r="C93" s="576"/>
      <c r="D93" s="576"/>
      <c r="E93" s="576"/>
      <c r="F93" s="576"/>
      <c r="G93" s="576"/>
    </row>
    <row r="94" spans="1:7" s="501" customFormat="1" ht="12.5">
      <c r="A94" s="579"/>
      <c r="C94" s="576"/>
      <c r="D94" s="576"/>
      <c r="E94" s="576"/>
      <c r="F94" s="576"/>
      <c r="G94" s="576"/>
    </row>
    <row r="95" spans="1:7" s="501" customFormat="1" ht="12.5">
      <c r="A95" s="579"/>
      <c r="C95" s="576"/>
      <c r="D95" s="576"/>
      <c r="E95" s="576"/>
      <c r="F95" s="576"/>
      <c r="G95" s="576"/>
    </row>
    <row r="96" spans="1:7" s="501" customFormat="1" ht="12.5">
      <c r="A96" s="579"/>
      <c r="C96" s="576"/>
      <c r="D96" s="576"/>
      <c r="E96" s="576"/>
      <c r="F96" s="576"/>
      <c r="G96" s="576"/>
    </row>
    <row r="97" spans="1:7" s="501" customFormat="1" ht="12.5">
      <c r="A97" s="579"/>
      <c r="C97" s="576"/>
      <c r="D97" s="576"/>
      <c r="E97" s="576"/>
      <c r="F97" s="576"/>
      <c r="G97" s="576"/>
    </row>
    <row r="98" spans="1:7" s="501" customFormat="1" ht="12.5">
      <c r="A98" s="579"/>
      <c r="C98" s="576"/>
      <c r="D98" s="576"/>
      <c r="E98" s="576"/>
      <c r="F98" s="576"/>
      <c r="G98" s="576"/>
    </row>
    <row r="99" spans="1:7" s="501" customFormat="1" ht="12.5">
      <c r="A99" s="579"/>
      <c r="C99" s="576"/>
      <c r="D99" s="576"/>
      <c r="E99" s="576"/>
      <c r="F99" s="576"/>
      <c r="G99" s="576"/>
    </row>
    <row r="100" spans="1:7" s="501" customFormat="1" ht="12.5">
      <c r="A100" s="579"/>
      <c r="C100" s="576"/>
      <c r="D100" s="576"/>
      <c r="E100" s="576"/>
      <c r="F100" s="576"/>
      <c r="G100" s="576"/>
    </row>
    <row r="101" spans="1:7" s="501" customFormat="1" ht="12.5">
      <c r="A101" s="579"/>
      <c r="C101" s="576"/>
      <c r="D101" s="576"/>
      <c r="E101" s="576"/>
      <c r="F101" s="576"/>
      <c r="G101" s="576"/>
    </row>
    <row r="102" spans="1:7" s="501" customFormat="1" ht="12.5">
      <c r="A102" s="579"/>
      <c r="C102" s="576"/>
      <c r="D102" s="576"/>
      <c r="E102" s="576"/>
      <c r="F102" s="576"/>
      <c r="G102" s="576"/>
    </row>
    <row r="103" spans="1:7" s="501" customFormat="1" ht="12.5">
      <c r="A103" s="579"/>
      <c r="C103" s="576"/>
      <c r="D103" s="576"/>
      <c r="E103" s="576"/>
      <c r="F103" s="576"/>
      <c r="G103" s="576"/>
    </row>
    <row r="104" spans="1:7" s="501" customFormat="1" ht="12.5">
      <c r="A104" s="579"/>
      <c r="C104" s="576"/>
      <c r="D104" s="576"/>
      <c r="E104" s="576"/>
      <c r="F104" s="576"/>
      <c r="G104" s="576"/>
    </row>
    <row r="105" spans="1:7" s="501" customFormat="1" ht="12.5">
      <c r="A105" s="579"/>
      <c r="C105" s="576"/>
      <c r="D105" s="576"/>
      <c r="E105" s="576"/>
      <c r="F105" s="576"/>
      <c r="G105" s="576"/>
    </row>
    <row r="106" spans="1:7" s="501" customFormat="1" ht="12.5">
      <c r="A106" s="579"/>
      <c r="C106" s="576"/>
      <c r="D106" s="576"/>
      <c r="E106" s="576"/>
      <c r="F106" s="576"/>
      <c r="G106" s="576"/>
    </row>
    <row r="107" spans="1:7" s="501" customFormat="1" ht="12.5">
      <c r="A107" s="579"/>
      <c r="C107" s="576"/>
      <c r="D107" s="576"/>
      <c r="E107" s="576"/>
      <c r="F107" s="576"/>
      <c r="G107" s="576"/>
    </row>
    <row r="108" spans="1:7" s="501" customFormat="1" ht="12.5">
      <c r="A108" s="579"/>
      <c r="C108" s="576"/>
      <c r="D108" s="576"/>
      <c r="E108" s="576"/>
      <c r="F108" s="576"/>
      <c r="G108" s="576"/>
    </row>
    <row r="109" spans="1:7" s="501" customFormat="1" ht="12.5">
      <c r="A109" s="579"/>
      <c r="C109" s="576"/>
      <c r="D109" s="576"/>
      <c r="E109" s="576"/>
      <c r="F109" s="576"/>
      <c r="G109" s="576"/>
    </row>
    <row r="110" spans="1:7" s="501" customFormat="1" ht="12.5">
      <c r="A110" s="579"/>
      <c r="C110" s="576"/>
      <c r="D110" s="576"/>
      <c r="E110" s="576"/>
      <c r="F110" s="576"/>
      <c r="G110" s="576"/>
    </row>
    <row r="111" spans="1:7" s="501" customFormat="1" ht="12.5">
      <c r="A111" s="579"/>
      <c r="C111" s="576"/>
      <c r="D111" s="576"/>
      <c r="E111" s="576"/>
      <c r="F111" s="576"/>
      <c r="G111" s="576"/>
    </row>
    <row r="112" spans="1:7" s="501" customFormat="1" ht="12.5">
      <c r="A112" s="579"/>
      <c r="C112" s="576"/>
      <c r="D112" s="576"/>
      <c r="E112" s="576"/>
      <c r="F112" s="576"/>
      <c r="G112" s="576"/>
    </row>
    <row r="113" spans="1:7" s="501" customFormat="1" ht="12.5">
      <c r="A113" s="579"/>
      <c r="C113" s="576"/>
      <c r="D113" s="576"/>
      <c r="E113" s="576"/>
      <c r="F113" s="576"/>
      <c r="G113" s="576"/>
    </row>
    <row r="114" spans="1:7" s="501" customFormat="1" ht="12.5">
      <c r="A114" s="579"/>
      <c r="C114" s="576"/>
      <c r="D114" s="576"/>
      <c r="E114" s="576"/>
      <c r="F114" s="576"/>
      <c r="G114" s="576"/>
    </row>
    <row r="115" spans="1:7" s="501" customFormat="1" ht="12.5">
      <c r="A115" s="579"/>
      <c r="C115" s="576"/>
      <c r="D115" s="576"/>
      <c r="E115" s="576"/>
      <c r="F115" s="576"/>
      <c r="G115" s="576"/>
    </row>
    <row r="116" spans="1:7" s="501" customFormat="1" ht="12.5">
      <c r="A116" s="579"/>
      <c r="C116" s="576"/>
      <c r="D116" s="576"/>
      <c r="E116" s="576"/>
      <c r="F116" s="576"/>
      <c r="G116" s="576"/>
    </row>
    <row r="117" spans="1:7" s="501" customFormat="1" ht="12.5">
      <c r="A117" s="579"/>
      <c r="C117" s="576"/>
      <c r="D117" s="576"/>
      <c r="E117" s="576"/>
      <c r="F117" s="576"/>
      <c r="G117" s="576"/>
    </row>
    <row r="118" spans="1:7" s="501" customFormat="1" ht="12.5">
      <c r="A118" s="579"/>
      <c r="C118" s="576"/>
      <c r="D118" s="576"/>
      <c r="E118" s="576"/>
      <c r="F118" s="576"/>
      <c r="G118" s="576"/>
    </row>
    <row r="119" spans="1:7" s="501" customFormat="1" ht="12.5">
      <c r="A119" s="579"/>
      <c r="C119" s="576"/>
      <c r="D119" s="576"/>
      <c r="E119" s="576"/>
      <c r="F119" s="576"/>
      <c r="G119" s="576"/>
    </row>
    <row r="120" spans="1:7" s="501" customFormat="1" ht="12.5">
      <c r="A120" s="579"/>
      <c r="C120" s="576"/>
      <c r="D120" s="576"/>
      <c r="E120" s="576"/>
      <c r="F120" s="576"/>
      <c r="G120" s="576"/>
    </row>
    <row r="121" spans="1:7" s="501" customFormat="1" ht="12.5">
      <c r="A121" s="579"/>
      <c r="C121" s="576"/>
      <c r="D121" s="576"/>
      <c r="E121" s="576"/>
      <c r="F121" s="576"/>
      <c r="G121" s="576"/>
    </row>
    <row r="122" spans="1:7" s="501" customFormat="1" ht="12.5">
      <c r="A122" s="579"/>
      <c r="C122" s="576"/>
      <c r="D122" s="576"/>
      <c r="E122" s="576"/>
      <c r="F122" s="576"/>
      <c r="G122" s="576"/>
    </row>
    <row r="123" spans="1:7" s="501" customFormat="1" ht="12.5">
      <c r="A123" s="579"/>
      <c r="C123" s="576"/>
      <c r="D123" s="576"/>
      <c r="E123" s="576"/>
      <c r="F123" s="576"/>
      <c r="G123" s="576"/>
    </row>
    <row r="124" spans="1:7" s="501" customFormat="1" ht="12.5">
      <c r="A124" s="579"/>
      <c r="C124" s="576"/>
      <c r="D124" s="576"/>
      <c r="E124" s="576"/>
      <c r="F124" s="576"/>
      <c r="G124" s="576"/>
    </row>
    <row r="125" spans="1:7" s="501" customFormat="1" ht="12.5">
      <c r="A125" s="579"/>
      <c r="C125" s="576"/>
      <c r="D125" s="576"/>
      <c r="E125" s="576"/>
      <c r="F125" s="576"/>
      <c r="G125" s="576"/>
    </row>
    <row r="126" spans="1:7" s="501" customFormat="1" ht="12.5">
      <c r="A126" s="579"/>
      <c r="C126" s="576"/>
      <c r="D126" s="576"/>
      <c r="E126" s="576"/>
      <c r="F126" s="576"/>
      <c r="G126" s="576"/>
    </row>
    <row r="127" spans="1:7" s="501" customFormat="1" ht="12.5">
      <c r="A127" s="579"/>
      <c r="C127" s="576"/>
      <c r="D127" s="576"/>
      <c r="E127" s="576"/>
      <c r="F127" s="576"/>
      <c r="G127" s="576"/>
    </row>
    <row r="128" spans="1:7" s="501" customFormat="1" ht="12.5">
      <c r="A128" s="579"/>
      <c r="C128" s="576"/>
      <c r="D128" s="576"/>
      <c r="E128" s="576"/>
      <c r="F128" s="576"/>
      <c r="G128" s="576"/>
    </row>
    <row r="129" spans="1:7" s="501" customFormat="1" ht="12.5">
      <c r="A129" s="579"/>
      <c r="C129" s="576"/>
      <c r="D129" s="576"/>
      <c r="E129" s="576"/>
      <c r="F129" s="576"/>
      <c r="G129" s="576"/>
    </row>
    <row r="130" spans="1:7" s="501" customFormat="1" ht="12.5">
      <c r="A130" s="579"/>
      <c r="C130" s="576"/>
      <c r="D130" s="576"/>
      <c r="E130" s="576"/>
      <c r="F130" s="576"/>
      <c r="G130" s="576"/>
    </row>
    <row r="131" spans="1:7" s="501" customFormat="1" ht="12.5">
      <c r="A131" s="579"/>
      <c r="C131" s="576"/>
      <c r="D131" s="576"/>
      <c r="E131" s="576"/>
      <c r="F131" s="576"/>
      <c r="G131" s="576"/>
    </row>
    <row r="132" spans="1:7" s="501" customFormat="1" ht="12.5">
      <c r="A132" s="579"/>
      <c r="C132" s="576"/>
      <c r="D132" s="576"/>
      <c r="E132" s="576"/>
      <c r="F132" s="576"/>
      <c r="G132" s="576"/>
    </row>
    <row r="133" spans="1:7" s="501" customFormat="1" ht="12.5">
      <c r="A133" s="579"/>
      <c r="C133" s="576"/>
      <c r="D133" s="576"/>
      <c r="E133" s="576"/>
      <c r="F133" s="576"/>
      <c r="G133" s="576"/>
    </row>
    <row r="134" spans="1:7" s="501" customFormat="1" ht="12.5">
      <c r="A134" s="579"/>
      <c r="C134" s="576"/>
      <c r="D134" s="576"/>
      <c r="E134" s="576"/>
      <c r="F134" s="576"/>
      <c r="G134" s="576"/>
    </row>
    <row r="135" spans="1:7" s="501" customFormat="1" ht="12.5">
      <c r="A135" s="579"/>
      <c r="C135" s="576"/>
      <c r="D135" s="576"/>
      <c r="E135" s="576"/>
      <c r="F135" s="576"/>
      <c r="G135" s="576"/>
    </row>
    <row r="136" spans="1:7" s="501" customFormat="1" ht="12.5">
      <c r="A136" s="579"/>
      <c r="C136" s="576"/>
      <c r="D136" s="576"/>
      <c r="E136" s="576"/>
      <c r="F136" s="576"/>
      <c r="G136" s="576"/>
    </row>
    <row r="137" spans="1:7" s="501" customFormat="1" ht="12.5">
      <c r="A137" s="579"/>
      <c r="C137" s="576"/>
      <c r="D137" s="576"/>
      <c r="E137" s="576"/>
      <c r="F137" s="576"/>
      <c r="G137" s="576"/>
    </row>
    <row r="138" spans="1:7" s="501" customFormat="1" ht="12.5">
      <c r="A138" s="579"/>
      <c r="C138" s="576"/>
      <c r="D138" s="576"/>
      <c r="E138" s="576"/>
      <c r="F138" s="576"/>
      <c r="G138" s="576"/>
    </row>
    <row r="139" spans="1:7" s="501" customFormat="1" ht="12.5">
      <c r="A139" s="579"/>
      <c r="C139" s="576"/>
      <c r="D139" s="576"/>
      <c r="E139" s="576"/>
      <c r="F139" s="576"/>
      <c r="G139" s="576"/>
    </row>
    <row r="140" spans="1:7" s="501" customFormat="1" ht="12.5">
      <c r="A140" s="579"/>
      <c r="C140" s="576"/>
      <c r="D140" s="576"/>
      <c r="E140" s="576"/>
      <c r="F140" s="576"/>
      <c r="G140" s="576"/>
    </row>
    <row r="141" spans="1:7" s="501" customFormat="1" ht="12.5">
      <c r="A141" s="579"/>
      <c r="C141" s="576"/>
      <c r="D141" s="576"/>
      <c r="E141" s="576"/>
      <c r="F141" s="576"/>
      <c r="G141" s="576"/>
    </row>
    <row r="142" spans="1:7" s="501" customFormat="1" ht="12.5">
      <c r="A142" s="579"/>
      <c r="C142" s="576"/>
      <c r="D142" s="576"/>
      <c r="E142" s="576"/>
      <c r="F142" s="576"/>
      <c r="G142" s="576"/>
    </row>
    <row r="143" spans="1:7" s="501" customFormat="1" ht="12.5">
      <c r="A143" s="579"/>
      <c r="C143" s="576"/>
      <c r="D143" s="576"/>
      <c r="E143" s="576"/>
      <c r="F143" s="576"/>
      <c r="G143" s="576"/>
    </row>
    <row r="144" spans="1:7" s="501" customFormat="1" ht="12.5">
      <c r="A144" s="579"/>
      <c r="C144" s="576"/>
      <c r="D144" s="576"/>
      <c r="E144" s="576"/>
      <c r="F144" s="576"/>
      <c r="G144" s="576"/>
    </row>
    <row r="145" spans="1:7" s="501" customFormat="1" ht="12.5">
      <c r="A145" s="579"/>
      <c r="C145" s="576"/>
      <c r="D145" s="576"/>
      <c r="E145" s="576"/>
      <c r="F145" s="576"/>
      <c r="G145" s="576"/>
    </row>
    <row r="146" spans="1:7" s="501" customFormat="1" ht="12.5">
      <c r="A146" s="579"/>
      <c r="C146" s="576"/>
      <c r="D146" s="576"/>
      <c r="E146" s="576"/>
      <c r="F146" s="576"/>
      <c r="G146" s="576"/>
    </row>
    <row r="147" spans="1:7" s="501" customFormat="1" ht="12.5">
      <c r="A147" s="579"/>
      <c r="C147" s="576"/>
      <c r="D147" s="576"/>
      <c r="E147" s="576"/>
      <c r="F147" s="576"/>
      <c r="G147" s="576"/>
    </row>
    <row r="148" spans="1:7" s="501" customFormat="1" ht="12.5">
      <c r="A148" s="579"/>
      <c r="C148" s="576"/>
      <c r="D148" s="576"/>
      <c r="E148" s="576"/>
      <c r="F148" s="576"/>
      <c r="G148" s="576"/>
    </row>
    <row r="149" spans="1:7" s="501" customFormat="1" ht="12.5">
      <c r="A149" s="579"/>
      <c r="C149" s="576"/>
      <c r="D149" s="576"/>
      <c r="E149" s="576"/>
      <c r="F149" s="576"/>
      <c r="G149" s="576"/>
    </row>
    <row r="150" spans="1:7" s="501" customFormat="1" ht="12.5">
      <c r="A150" s="579"/>
      <c r="C150" s="576"/>
      <c r="D150" s="576"/>
      <c r="E150" s="576"/>
      <c r="F150" s="576"/>
      <c r="G150" s="576"/>
    </row>
    <row r="151" spans="1:7" s="501" customFormat="1" ht="12.5">
      <c r="A151" s="579"/>
      <c r="C151" s="576"/>
      <c r="D151" s="576"/>
      <c r="E151" s="576"/>
      <c r="F151" s="576"/>
      <c r="G151" s="576"/>
    </row>
    <row r="152" spans="1:7" s="501" customFormat="1" ht="12.5">
      <c r="A152" s="579"/>
      <c r="C152" s="576"/>
      <c r="D152" s="576"/>
      <c r="E152" s="576"/>
      <c r="F152" s="576"/>
      <c r="G152" s="576"/>
    </row>
    <row r="153" spans="1:7" s="501" customFormat="1" ht="12.5">
      <c r="A153" s="579"/>
      <c r="C153" s="576"/>
      <c r="D153" s="576"/>
      <c r="E153" s="576"/>
      <c r="F153" s="576"/>
      <c r="G153" s="576"/>
    </row>
    <row r="154" spans="1:7" s="501" customFormat="1" ht="12.5">
      <c r="A154" s="579"/>
      <c r="C154" s="576"/>
      <c r="D154" s="576"/>
      <c r="E154" s="576"/>
      <c r="F154" s="576"/>
      <c r="G154" s="576"/>
    </row>
    <row r="155" spans="1:7" s="501" customFormat="1" ht="12.5">
      <c r="A155" s="579"/>
      <c r="C155" s="576"/>
      <c r="D155" s="576"/>
      <c r="E155" s="576"/>
      <c r="F155" s="576"/>
      <c r="G155" s="576"/>
    </row>
    <row r="156" spans="1:7" s="501" customFormat="1" ht="12.5">
      <c r="A156" s="579"/>
      <c r="C156" s="576"/>
      <c r="D156" s="576"/>
      <c r="E156" s="576"/>
      <c r="F156" s="576"/>
      <c r="G156" s="576"/>
    </row>
    <row r="157" spans="1:7" s="501" customFormat="1" ht="12.5">
      <c r="A157" s="579"/>
      <c r="C157" s="576"/>
      <c r="D157" s="576"/>
      <c r="E157" s="576"/>
      <c r="F157" s="576"/>
      <c r="G157" s="576"/>
    </row>
    <row r="158" spans="1:7" s="501" customFormat="1" ht="12.5">
      <c r="A158" s="579"/>
      <c r="C158" s="576"/>
      <c r="D158" s="576"/>
      <c r="E158" s="576"/>
      <c r="F158" s="576"/>
      <c r="G158" s="576"/>
    </row>
    <row r="159" spans="1:7" s="501" customFormat="1" ht="12.5">
      <c r="A159" s="579"/>
      <c r="C159" s="576"/>
      <c r="D159" s="576"/>
      <c r="E159" s="576"/>
      <c r="F159" s="576"/>
      <c r="G159" s="576"/>
    </row>
    <row r="160" spans="1:7" s="501" customFormat="1" ht="12.5">
      <c r="A160" s="579"/>
      <c r="C160" s="576"/>
      <c r="D160" s="576"/>
      <c r="E160" s="576"/>
      <c r="F160" s="576"/>
      <c r="G160" s="576"/>
    </row>
    <row r="161" spans="1:7" s="501" customFormat="1" ht="12.5">
      <c r="A161" s="579"/>
      <c r="C161" s="576"/>
      <c r="D161" s="576"/>
      <c r="E161" s="576"/>
      <c r="F161" s="576"/>
      <c r="G161" s="576"/>
    </row>
    <row r="162" spans="1:7" s="501" customFormat="1" ht="12.5">
      <c r="A162" s="579"/>
      <c r="C162" s="576"/>
      <c r="D162" s="576"/>
      <c r="E162" s="576"/>
      <c r="F162" s="576"/>
      <c r="G162" s="576"/>
    </row>
    <row r="163" spans="1:7" s="501" customFormat="1" ht="12.5">
      <c r="A163" s="579"/>
      <c r="C163" s="576"/>
      <c r="D163" s="576"/>
      <c r="E163" s="576"/>
      <c r="F163" s="576"/>
      <c r="G163" s="576"/>
    </row>
    <row r="164" spans="1:7" s="501" customFormat="1" ht="12.5">
      <c r="A164" s="579"/>
      <c r="C164" s="576"/>
      <c r="D164" s="576"/>
      <c r="E164" s="576"/>
      <c r="F164" s="576"/>
      <c r="G164" s="576"/>
    </row>
    <row r="165" spans="1:7" s="501" customFormat="1" ht="12.5">
      <c r="A165" s="579"/>
      <c r="C165" s="576"/>
      <c r="D165" s="576"/>
      <c r="E165" s="576"/>
      <c r="F165" s="576"/>
      <c r="G165" s="576"/>
    </row>
    <row r="166" spans="1:7" s="501" customFormat="1" ht="12.5">
      <c r="A166" s="579"/>
      <c r="C166" s="576"/>
      <c r="D166" s="576"/>
      <c r="E166" s="576"/>
      <c r="F166" s="576"/>
      <c r="G166" s="576"/>
    </row>
    <row r="167" spans="1:7" s="501" customFormat="1" ht="12.5">
      <c r="A167" s="579"/>
      <c r="C167" s="576"/>
      <c r="D167" s="576"/>
      <c r="E167" s="576"/>
      <c r="F167" s="576"/>
      <c r="G167" s="576"/>
    </row>
    <row r="168" spans="1:7" s="501" customFormat="1" ht="12.5">
      <c r="A168" s="579"/>
      <c r="C168" s="576"/>
      <c r="D168" s="576"/>
      <c r="E168" s="576"/>
      <c r="F168" s="576"/>
      <c r="G168" s="576"/>
    </row>
    <row r="169" spans="1:7" s="501" customFormat="1" ht="12.5">
      <c r="A169" s="579"/>
      <c r="C169" s="576"/>
      <c r="D169" s="576"/>
      <c r="E169" s="576"/>
      <c r="F169" s="576"/>
      <c r="G169" s="576"/>
    </row>
    <row r="170" spans="1:7" s="501" customFormat="1" ht="12.5">
      <c r="A170" s="579"/>
      <c r="C170" s="576"/>
      <c r="D170" s="576"/>
      <c r="E170" s="576"/>
      <c r="F170" s="576"/>
      <c r="G170" s="576"/>
    </row>
    <row r="171" spans="1:7" s="501" customFormat="1" ht="12.5">
      <c r="A171" s="579"/>
      <c r="C171" s="576"/>
      <c r="D171" s="576"/>
      <c r="E171" s="576"/>
      <c r="F171" s="576"/>
      <c r="G171" s="576"/>
    </row>
    <row r="172" spans="1:7" s="501" customFormat="1" ht="12.5">
      <c r="A172" s="579"/>
      <c r="C172" s="576"/>
      <c r="D172" s="576"/>
      <c r="E172" s="576"/>
      <c r="F172" s="576"/>
      <c r="G172" s="576"/>
    </row>
    <row r="173" spans="1:7" s="501" customFormat="1" ht="12.5">
      <c r="A173" s="579"/>
      <c r="C173" s="576"/>
      <c r="D173" s="576"/>
      <c r="E173" s="576"/>
      <c r="F173" s="576"/>
      <c r="G173" s="576"/>
    </row>
    <row r="174" spans="1:7" s="501" customFormat="1" ht="12.5">
      <c r="A174" s="579"/>
      <c r="C174" s="576"/>
      <c r="D174" s="576"/>
      <c r="E174" s="576"/>
      <c r="F174" s="576"/>
      <c r="G174" s="576"/>
    </row>
    <row r="175" spans="1:7" s="501" customFormat="1" ht="12.5">
      <c r="A175" s="579"/>
      <c r="C175" s="576"/>
      <c r="D175" s="576"/>
      <c r="E175" s="576"/>
      <c r="F175" s="576"/>
      <c r="G175" s="576"/>
    </row>
    <row r="176" spans="1:7" s="501" customFormat="1" ht="12.5">
      <c r="A176" s="579"/>
      <c r="C176" s="576"/>
      <c r="D176" s="576"/>
      <c r="E176" s="576"/>
      <c r="F176" s="576"/>
      <c r="G176" s="576"/>
    </row>
    <row r="177" spans="1:7" s="501" customFormat="1" ht="12.5">
      <c r="A177" s="579"/>
      <c r="C177" s="576"/>
      <c r="D177" s="576"/>
      <c r="E177" s="576"/>
      <c r="F177" s="576"/>
      <c r="G177" s="576"/>
    </row>
    <row r="178" spans="1:7" s="501" customFormat="1" ht="12.5">
      <c r="A178" s="579"/>
      <c r="C178" s="576"/>
      <c r="D178" s="576"/>
      <c r="E178" s="576"/>
      <c r="F178" s="576"/>
      <c r="G178" s="576"/>
    </row>
    <row r="179" spans="1:7" s="501" customFormat="1" ht="12.5">
      <c r="A179" s="579"/>
      <c r="C179" s="576"/>
      <c r="D179" s="576"/>
      <c r="E179" s="576"/>
      <c r="F179" s="576"/>
      <c r="G179" s="576"/>
    </row>
    <row r="180" spans="1:7" s="501" customFormat="1" ht="12.5">
      <c r="A180" s="579"/>
      <c r="C180" s="576"/>
      <c r="D180" s="576"/>
      <c r="E180" s="576"/>
      <c r="F180" s="576"/>
      <c r="G180" s="576"/>
    </row>
    <row r="181" spans="1:7" s="501" customFormat="1" ht="12.5">
      <c r="A181" s="579"/>
      <c r="C181" s="576"/>
      <c r="D181" s="576"/>
      <c r="E181" s="576"/>
      <c r="F181" s="576"/>
      <c r="G181" s="576"/>
    </row>
    <row r="182" spans="1:7" s="501" customFormat="1" ht="12.5">
      <c r="A182" s="579"/>
      <c r="C182" s="576"/>
      <c r="D182" s="576"/>
      <c r="E182" s="576"/>
      <c r="F182" s="576"/>
      <c r="G182" s="576"/>
    </row>
    <row r="183" spans="1:7" s="501" customFormat="1" ht="12.5">
      <c r="A183" s="579"/>
      <c r="C183" s="576"/>
      <c r="D183" s="576"/>
      <c r="E183" s="576"/>
      <c r="F183" s="576"/>
      <c r="G183" s="576"/>
    </row>
    <row r="184" spans="1:7" s="501" customFormat="1" ht="12.5">
      <c r="A184" s="579"/>
      <c r="C184" s="576"/>
      <c r="D184" s="576"/>
      <c r="E184" s="576"/>
      <c r="F184" s="576"/>
      <c r="G184" s="576"/>
    </row>
    <row r="185" spans="1:7" s="501" customFormat="1" ht="12.5">
      <c r="A185" s="579"/>
      <c r="C185" s="576"/>
      <c r="D185" s="576"/>
      <c r="E185" s="576"/>
      <c r="F185" s="576"/>
      <c r="G185" s="576"/>
    </row>
    <row r="186" spans="1:7" s="501" customFormat="1" ht="12.5">
      <c r="A186" s="579"/>
      <c r="C186" s="576"/>
      <c r="D186" s="576"/>
      <c r="E186" s="576"/>
      <c r="F186" s="576"/>
      <c r="G186" s="576"/>
    </row>
    <row r="187" spans="1:7" s="501" customFormat="1" ht="12.5">
      <c r="A187" s="579"/>
      <c r="C187" s="576"/>
      <c r="D187" s="576"/>
      <c r="E187" s="576"/>
      <c r="F187" s="576"/>
      <c r="G187" s="576"/>
    </row>
    <row r="188" spans="1:7" s="501" customFormat="1" ht="12.5">
      <c r="A188" s="579"/>
      <c r="C188" s="576"/>
      <c r="D188" s="576"/>
      <c r="E188" s="576"/>
      <c r="F188" s="576"/>
      <c r="G188" s="576"/>
    </row>
    <row r="189" spans="1:7" s="501" customFormat="1" ht="12.5">
      <c r="A189" s="579"/>
      <c r="C189" s="576"/>
      <c r="D189" s="576"/>
      <c r="E189" s="576"/>
      <c r="F189" s="576"/>
      <c r="G189" s="576"/>
    </row>
    <row r="190" spans="1:7" s="501" customFormat="1" ht="12.5">
      <c r="A190" s="579"/>
      <c r="C190" s="576"/>
      <c r="D190" s="576"/>
      <c r="E190" s="576"/>
      <c r="F190" s="576"/>
      <c r="G190" s="576"/>
    </row>
    <row r="191" spans="1:7" s="501" customFormat="1" ht="12.5">
      <c r="A191" s="579"/>
      <c r="C191" s="576"/>
      <c r="D191" s="576"/>
      <c r="E191" s="576"/>
      <c r="F191" s="576"/>
      <c r="G191" s="576"/>
    </row>
    <row r="192" spans="1:7" s="501" customFormat="1" ht="12.5">
      <c r="A192" s="579"/>
      <c r="C192" s="576"/>
      <c r="D192" s="576"/>
      <c r="E192" s="576"/>
      <c r="F192" s="576"/>
      <c r="G192" s="576"/>
    </row>
    <row r="193" spans="1:7" s="501" customFormat="1" ht="12.5">
      <c r="A193" s="579"/>
      <c r="C193" s="576"/>
      <c r="D193" s="576"/>
      <c r="E193" s="576"/>
      <c r="F193" s="576"/>
      <c r="G193" s="576"/>
    </row>
    <row r="194" spans="1:7" s="501" customFormat="1" ht="12.5">
      <c r="A194" s="579"/>
      <c r="C194" s="576"/>
      <c r="D194" s="576"/>
      <c r="E194" s="576"/>
      <c r="F194" s="576"/>
      <c r="G194" s="576"/>
    </row>
    <row r="195" spans="1:7" s="501" customFormat="1" ht="12.5">
      <c r="A195" s="579"/>
      <c r="C195" s="576"/>
      <c r="D195" s="576"/>
      <c r="E195" s="576"/>
      <c r="F195" s="576"/>
      <c r="G195" s="576"/>
    </row>
    <row r="196" spans="1:7" s="501" customFormat="1" ht="12.5">
      <c r="A196" s="579"/>
      <c r="C196" s="576"/>
      <c r="D196" s="576"/>
      <c r="E196" s="576"/>
      <c r="F196" s="576"/>
      <c r="G196" s="576"/>
    </row>
    <row r="197" spans="1:7" s="501" customFormat="1" ht="12.5">
      <c r="A197" s="579"/>
      <c r="C197" s="576"/>
      <c r="D197" s="576"/>
      <c r="E197" s="576"/>
      <c r="F197" s="576"/>
      <c r="G197" s="576"/>
    </row>
    <row r="198" spans="1:7" s="501" customFormat="1" ht="12.5">
      <c r="A198" s="579"/>
      <c r="C198" s="576"/>
      <c r="D198" s="576"/>
      <c r="E198" s="576"/>
      <c r="F198" s="576"/>
      <c r="G198" s="576"/>
    </row>
    <row r="199" spans="1:7" s="501" customFormat="1" ht="12.5">
      <c r="A199" s="579"/>
      <c r="C199" s="576"/>
      <c r="D199" s="576"/>
      <c r="E199" s="576"/>
      <c r="F199" s="576"/>
      <c r="G199" s="576"/>
    </row>
    <row r="200" spans="1:7" s="501" customFormat="1" ht="12.5">
      <c r="A200" s="579"/>
      <c r="C200" s="576"/>
      <c r="D200" s="576"/>
      <c r="E200" s="576"/>
      <c r="F200" s="576"/>
      <c r="G200" s="576"/>
    </row>
    <row r="201" spans="1:7" s="501" customFormat="1" ht="12.5">
      <c r="A201" s="579"/>
      <c r="C201" s="576"/>
      <c r="D201" s="576"/>
      <c r="E201" s="576"/>
      <c r="F201" s="576"/>
      <c r="G201" s="576"/>
    </row>
    <row r="202" spans="1:7" s="501" customFormat="1" ht="12.5">
      <c r="A202" s="579"/>
      <c r="C202" s="576"/>
      <c r="D202" s="576"/>
      <c r="E202" s="576"/>
      <c r="F202" s="576"/>
      <c r="G202" s="576"/>
    </row>
    <row r="203" spans="1:7" s="501" customFormat="1" ht="12.5">
      <c r="A203" s="579"/>
      <c r="C203" s="576"/>
      <c r="D203" s="576"/>
      <c r="E203" s="576"/>
      <c r="F203" s="576"/>
      <c r="G203" s="576"/>
    </row>
    <row r="204" spans="1:7" s="501" customFormat="1" ht="12.5">
      <c r="A204" s="579"/>
      <c r="C204" s="576"/>
      <c r="D204" s="576"/>
      <c r="E204" s="576"/>
      <c r="F204" s="576"/>
      <c r="G204" s="576"/>
    </row>
    <row r="205" spans="1:7" s="501" customFormat="1" ht="12.5">
      <c r="A205" s="579"/>
      <c r="C205" s="576"/>
      <c r="D205" s="576"/>
      <c r="E205" s="576"/>
      <c r="F205" s="576"/>
      <c r="G205" s="576"/>
    </row>
    <row r="206" spans="1:7" s="501" customFormat="1" ht="12.5">
      <c r="A206" s="579"/>
      <c r="C206" s="576"/>
      <c r="D206" s="576"/>
      <c r="E206" s="576"/>
      <c r="F206" s="576"/>
      <c r="G206" s="576"/>
    </row>
    <row r="207" spans="1:7" s="501" customFormat="1" ht="12.5">
      <c r="A207" s="579"/>
      <c r="C207" s="576"/>
      <c r="D207" s="576"/>
      <c r="E207" s="576"/>
      <c r="F207" s="576"/>
      <c r="G207" s="576"/>
    </row>
    <row r="208" spans="1:7" s="501" customFormat="1" ht="12.5">
      <c r="A208" s="579"/>
      <c r="C208" s="576"/>
      <c r="D208" s="576"/>
      <c r="E208" s="576"/>
      <c r="F208" s="576"/>
      <c r="G208" s="576"/>
    </row>
    <row r="209" spans="1:7" s="501" customFormat="1" ht="12.5">
      <c r="A209" s="579"/>
      <c r="C209" s="576"/>
      <c r="D209" s="576"/>
      <c r="E209" s="576"/>
      <c r="F209" s="576"/>
      <c r="G209" s="576"/>
    </row>
    <row r="210" spans="1:7" s="501" customFormat="1" ht="12.5">
      <c r="A210" s="579"/>
      <c r="C210" s="576"/>
      <c r="D210" s="576"/>
      <c r="E210" s="576"/>
      <c r="F210" s="576"/>
      <c r="G210" s="576"/>
    </row>
    <row r="211" spans="1:7" s="501" customFormat="1" ht="12.5">
      <c r="A211" s="579"/>
      <c r="C211" s="576"/>
      <c r="D211" s="576"/>
      <c r="E211" s="576"/>
      <c r="F211" s="576"/>
      <c r="G211" s="576"/>
    </row>
    <row r="212" spans="1:7" s="501" customFormat="1" ht="12.5">
      <c r="A212" s="579"/>
      <c r="C212" s="576"/>
      <c r="D212" s="576"/>
      <c r="E212" s="576"/>
      <c r="F212" s="576"/>
      <c r="G212" s="576"/>
    </row>
    <row r="213" spans="1:7" s="501" customFormat="1" ht="12.5">
      <c r="A213" s="579"/>
      <c r="C213" s="576"/>
      <c r="D213" s="576"/>
      <c r="E213" s="576"/>
      <c r="F213" s="576"/>
      <c r="G213" s="576"/>
    </row>
    <row r="214" spans="1:7" s="501" customFormat="1" ht="12.5">
      <c r="A214" s="579"/>
      <c r="C214" s="576"/>
      <c r="D214" s="576"/>
      <c r="E214" s="576"/>
      <c r="F214" s="576"/>
      <c r="G214" s="576"/>
    </row>
    <row r="215" spans="1:7" s="501" customFormat="1" ht="12.5">
      <c r="A215" s="579"/>
      <c r="C215" s="576"/>
      <c r="D215" s="576"/>
      <c r="E215" s="576"/>
      <c r="F215" s="576"/>
      <c r="G215" s="576"/>
    </row>
    <row r="216" spans="1:7" s="501" customFormat="1" ht="12.5">
      <c r="A216" s="579"/>
      <c r="C216" s="576"/>
      <c r="D216" s="576"/>
      <c r="E216" s="576"/>
      <c r="F216" s="576"/>
      <c r="G216" s="576"/>
    </row>
    <row r="217" spans="1:7" s="501" customFormat="1" ht="12.5">
      <c r="A217" s="579"/>
      <c r="C217" s="576"/>
      <c r="D217" s="576"/>
      <c r="E217" s="576"/>
      <c r="F217" s="576"/>
      <c r="G217" s="576"/>
    </row>
    <row r="218" spans="1:7" s="501" customFormat="1" ht="12.5">
      <c r="A218" s="579"/>
      <c r="C218" s="576"/>
      <c r="D218" s="576"/>
      <c r="E218" s="576"/>
      <c r="F218" s="576"/>
      <c r="G218" s="576"/>
    </row>
    <row r="219" spans="1:7" s="501" customFormat="1" ht="12.5">
      <c r="A219" s="579"/>
      <c r="C219" s="576"/>
      <c r="D219" s="576"/>
      <c r="E219" s="576"/>
      <c r="F219" s="576"/>
      <c r="G219" s="576"/>
    </row>
    <row r="220" spans="1:7" s="501" customFormat="1" ht="12.5">
      <c r="A220" s="579"/>
      <c r="C220" s="576"/>
      <c r="D220" s="576"/>
      <c r="E220" s="576"/>
      <c r="F220" s="576"/>
      <c r="G220" s="576"/>
    </row>
    <row r="221" spans="1:7" s="501" customFormat="1" ht="12.5">
      <c r="A221" s="579"/>
      <c r="C221" s="576"/>
      <c r="D221" s="576"/>
      <c r="E221" s="576"/>
      <c r="F221" s="576"/>
      <c r="G221" s="576"/>
    </row>
    <row r="222" spans="1:7" s="501" customFormat="1" ht="12.5">
      <c r="A222" s="579"/>
      <c r="C222" s="576"/>
      <c r="D222" s="576"/>
      <c r="E222" s="576"/>
      <c r="F222" s="576"/>
      <c r="G222" s="576"/>
    </row>
    <row r="223" spans="1:7" s="501" customFormat="1" ht="12.5">
      <c r="A223" s="579"/>
      <c r="C223" s="576"/>
      <c r="D223" s="576"/>
      <c r="E223" s="576"/>
      <c r="F223" s="576"/>
      <c r="G223" s="576"/>
    </row>
    <row r="224" spans="1:7" s="501" customFormat="1" ht="12.5">
      <c r="A224" s="579"/>
      <c r="C224" s="576"/>
      <c r="D224" s="576"/>
      <c r="E224" s="576"/>
      <c r="F224" s="576"/>
      <c r="G224" s="576"/>
    </row>
    <row r="225" spans="1:7" s="501" customFormat="1" ht="12.5">
      <c r="A225" s="579"/>
      <c r="C225" s="576"/>
      <c r="D225" s="576"/>
      <c r="E225" s="576"/>
      <c r="F225" s="576"/>
      <c r="G225" s="576"/>
    </row>
    <row r="226" spans="1:7" s="501" customFormat="1" ht="12.5">
      <c r="A226" s="579"/>
      <c r="C226" s="576"/>
      <c r="D226" s="576"/>
      <c r="E226" s="576"/>
      <c r="F226" s="576"/>
      <c r="G226" s="576"/>
    </row>
    <row r="227" spans="1:7" s="501" customFormat="1" ht="12.5">
      <c r="A227" s="579"/>
      <c r="C227" s="576"/>
      <c r="D227" s="576"/>
      <c r="E227" s="576"/>
      <c r="F227" s="576"/>
      <c r="G227" s="576"/>
    </row>
    <row r="228" spans="1:7" s="501" customFormat="1" ht="12.5">
      <c r="A228" s="579"/>
      <c r="C228" s="576"/>
      <c r="D228" s="576"/>
      <c r="E228" s="576"/>
      <c r="F228" s="576"/>
      <c r="G228" s="576"/>
    </row>
    <row r="229" spans="1:7" s="501" customFormat="1" ht="12.5">
      <c r="A229" s="579"/>
      <c r="C229" s="576"/>
      <c r="D229" s="576"/>
      <c r="E229" s="576"/>
      <c r="F229" s="576"/>
      <c r="G229" s="576"/>
    </row>
    <row r="230" spans="1:7" s="501" customFormat="1" ht="12.5">
      <c r="A230" s="579"/>
      <c r="C230" s="576"/>
      <c r="D230" s="576"/>
      <c r="E230" s="576"/>
      <c r="F230" s="576"/>
      <c r="G230" s="576"/>
    </row>
    <row r="231" spans="1:7" s="501" customFormat="1" ht="12.5">
      <c r="A231" s="579"/>
      <c r="C231" s="576"/>
      <c r="D231" s="576"/>
      <c r="E231" s="576"/>
      <c r="F231" s="576"/>
      <c r="G231" s="576"/>
    </row>
    <row r="232" spans="1:7" s="501" customFormat="1" ht="12.5">
      <c r="A232" s="579"/>
      <c r="C232" s="576"/>
      <c r="D232" s="576"/>
      <c r="E232" s="576"/>
      <c r="F232" s="576"/>
      <c r="G232" s="576"/>
    </row>
    <row r="233" spans="1:7" s="501" customFormat="1" ht="12.5">
      <c r="A233" s="579"/>
      <c r="C233" s="576"/>
      <c r="D233" s="576"/>
      <c r="E233" s="576"/>
      <c r="F233" s="576"/>
      <c r="G233" s="576"/>
    </row>
    <row r="234" spans="1:7" s="501" customFormat="1" ht="12.5">
      <c r="A234" s="579"/>
      <c r="C234" s="576"/>
      <c r="D234" s="576"/>
      <c r="E234" s="576"/>
      <c r="F234" s="576"/>
      <c r="G234" s="576"/>
    </row>
    <row r="235" spans="1:7" s="501" customFormat="1" ht="12.5">
      <c r="A235" s="579"/>
      <c r="C235" s="576"/>
      <c r="D235" s="576"/>
      <c r="E235" s="576"/>
      <c r="F235" s="576"/>
      <c r="G235" s="576"/>
    </row>
    <row r="236" spans="1:7" s="501" customFormat="1" ht="12.5">
      <c r="A236" s="579"/>
      <c r="C236" s="576"/>
      <c r="D236" s="576"/>
      <c r="E236" s="576"/>
      <c r="F236" s="576"/>
      <c r="G236" s="576"/>
    </row>
    <row r="237" spans="1:7" s="501" customFormat="1" ht="12.5">
      <c r="A237" s="579"/>
      <c r="C237" s="576"/>
      <c r="D237" s="576"/>
      <c r="E237" s="576"/>
      <c r="F237" s="576"/>
      <c r="G237" s="576"/>
    </row>
    <row r="238" spans="1:7" s="501" customFormat="1" ht="12.5">
      <c r="A238" s="579"/>
      <c r="C238" s="576"/>
      <c r="D238" s="576"/>
      <c r="E238" s="576"/>
      <c r="F238" s="576"/>
      <c r="G238" s="576"/>
    </row>
    <row r="239" spans="1:7" s="501" customFormat="1" ht="12.5">
      <c r="A239" s="579"/>
      <c r="C239" s="576"/>
      <c r="D239" s="576"/>
      <c r="E239" s="576"/>
      <c r="F239" s="576"/>
      <c r="G239" s="576"/>
    </row>
    <row r="240" spans="1:7" s="501" customFormat="1" ht="12.5">
      <c r="A240" s="579"/>
      <c r="C240" s="576"/>
      <c r="D240" s="576"/>
      <c r="E240" s="576"/>
      <c r="F240" s="576"/>
      <c r="G240" s="576"/>
    </row>
    <row r="241" spans="1:7" s="501" customFormat="1" ht="12.5">
      <c r="A241" s="579"/>
      <c r="C241" s="576"/>
      <c r="D241" s="576"/>
      <c r="E241" s="576"/>
      <c r="F241" s="576"/>
      <c r="G241" s="576"/>
    </row>
    <row r="242" spans="1:7" s="501" customFormat="1" ht="12.5">
      <c r="A242" s="579"/>
      <c r="C242" s="576"/>
      <c r="D242" s="576"/>
      <c r="E242" s="576"/>
      <c r="F242" s="576"/>
      <c r="G242" s="576"/>
    </row>
    <row r="243" spans="1:7" s="501" customFormat="1" ht="12.5">
      <c r="A243" s="579"/>
      <c r="C243" s="576"/>
      <c r="D243" s="576"/>
      <c r="E243" s="576"/>
      <c r="F243" s="576"/>
      <c r="G243" s="576"/>
    </row>
    <row r="244" spans="1:7" s="501" customFormat="1" ht="12.5">
      <c r="A244" s="579"/>
      <c r="C244" s="576"/>
      <c r="D244" s="576"/>
      <c r="E244" s="576"/>
      <c r="F244" s="576"/>
      <c r="G244" s="576"/>
    </row>
    <row r="245" spans="1:7" s="501" customFormat="1" ht="12.5">
      <c r="A245" s="579"/>
      <c r="C245" s="576"/>
      <c r="D245" s="576"/>
      <c r="E245" s="576"/>
      <c r="F245" s="576"/>
      <c r="G245" s="576"/>
    </row>
    <row r="246" spans="1:7" s="501" customFormat="1" ht="12.5">
      <c r="A246" s="579"/>
      <c r="C246" s="576"/>
      <c r="D246" s="576"/>
      <c r="E246" s="576"/>
      <c r="F246" s="576"/>
      <c r="G246" s="576"/>
    </row>
    <row r="247" spans="1:7" s="501" customFormat="1" ht="12.5">
      <c r="A247" s="579"/>
      <c r="C247" s="576"/>
      <c r="D247" s="576"/>
      <c r="E247" s="576"/>
      <c r="F247" s="576"/>
      <c r="G247" s="576"/>
    </row>
    <row r="248" spans="1:7" s="501" customFormat="1" ht="12.5">
      <c r="A248" s="579"/>
      <c r="C248" s="576"/>
      <c r="D248" s="576"/>
      <c r="E248" s="576"/>
      <c r="F248" s="576"/>
      <c r="G248" s="576"/>
    </row>
    <row r="249" spans="1:7" s="501" customFormat="1" ht="12.5">
      <c r="A249" s="579"/>
      <c r="C249" s="576"/>
      <c r="D249" s="576"/>
      <c r="E249" s="576"/>
      <c r="F249" s="576"/>
      <c r="G249" s="576"/>
    </row>
    <row r="250" spans="1:7" s="501" customFormat="1" ht="12.5">
      <c r="A250" s="579"/>
      <c r="C250" s="576"/>
      <c r="D250" s="576"/>
      <c r="E250" s="576"/>
      <c r="F250" s="576"/>
      <c r="G250" s="576"/>
    </row>
    <row r="251" spans="1:7" s="501" customFormat="1" ht="12.5">
      <c r="A251" s="579"/>
      <c r="C251" s="576"/>
      <c r="D251" s="576"/>
      <c r="E251" s="576"/>
      <c r="F251" s="576"/>
      <c r="G251" s="576"/>
    </row>
    <row r="252" spans="1:7" s="501" customFormat="1" ht="12.5">
      <c r="A252" s="579"/>
      <c r="C252" s="576"/>
      <c r="D252" s="576"/>
      <c r="E252" s="576"/>
      <c r="F252" s="576"/>
      <c r="G252" s="576"/>
    </row>
    <row r="253" spans="1:7" s="501" customFormat="1" ht="12.5">
      <c r="A253" s="579"/>
      <c r="C253" s="576"/>
      <c r="D253" s="576"/>
      <c r="E253" s="576"/>
      <c r="F253" s="576"/>
      <c r="G253" s="576"/>
    </row>
    <row r="254" spans="1:7" s="501" customFormat="1" ht="12.5">
      <c r="A254" s="579"/>
      <c r="C254" s="576"/>
      <c r="D254" s="576"/>
      <c r="E254" s="576"/>
      <c r="F254" s="576"/>
      <c r="G254" s="576"/>
    </row>
    <row r="255" spans="1:7" s="501" customFormat="1" ht="12.5">
      <c r="A255" s="579"/>
      <c r="C255" s="576"/>
      <c r="D255" s="576"/>
      <c r="E255" s="576"/>
      <c r="F255" s="576"/>
      <c r="G255" s="576"/>
    </row>
    <row r="256" spans="1:7" s="501" customFormat="1" ht="12.5">
      <c r="A256" s="579"/>
      <c r="C256" s="576"/>
      <c r="D256" s="576"/>
      <c r="E256" s="576"/>
      <c r="F256" s="576"/>
      <c r="G256" s="576"/>
    </row>
    <row r="257" spans="1:7" s="501" customFormat="1" ht="12.5">
      <c r="A257" s="579"/>
      <c r="C257" s="576"/>
      <c r="D257" s="576"/>
      <c r="E257" s="576"/>
      <c r="F257" s="576"/>
      <c r="G257" s="576"/>
    </row>
    <row r="258" spans="1:7" s="501" customFormat="1" ht="12.5">
      <c r="A258" s="579"/>
      <c r="C258" s="576"/>
      <c r="D258" s="576"/>
      <c r="E258" s="576"/>
      <c r="F258" s="576"/>
      <c r="G258" s="576"/>
    </row>
    <row r="259" spans="1:7" s="501" customFormat="1" ht="12.5">
      <c r="A259" s="579"/>
      <c r="C259" s="576"/>
      <c r="D259" s="576"/>
      <c r="E259" s="576"/>
      <c r="F259" s="576"/>
      <c r="G259" s="576"/>
    </row>
    <row r="260" spans="1:7" s="501" customFormat="1" ht="12.5">
      <c r="A260" s="579"/>
      <c r="C260" s="576"/>
      <c r="D260" s="576"/>
      <c r="E260" s="576"/>
      <c r="F260" s="576"/>
      <c r="G260" s="576"/>
    </row>
    <row r="261" spans="1:7" s="501" customFormat="1" ht="12.5">
      <c r="A261" s="579"/>
      <c r="C261" s="576"/>
      <c r="D261" s="576"/>
      <c r="E261" s="576"/>
      <c r="F261" s="576"/>
      <c r="G261" s="576"/>
    </row>
    <row r="262" spans="1:7" s="501" customFormat="1" ht="12.5">
      <c r="A262" s="579"/>
      <c r="C262" s="576"/>
      <c r="D262" s="576"/>
      <c r="E262" s="576"/>
      <c r="F262" s="576"/>
      <c r="G262" s="576"/>
    </row>
    <row r="263" spans="1:7" s="501" customFormat="1" ht="12.5">
      <c r="A263" s="579"/>
      <c r="C263" s="576"/>
      <c r="D263" s="576"/>
      <c r="E263" s="576"/>
      <c r="F263" s="576"/>
      <c r="G263" s="576"/>
    </row>
    <row r="264" spans="1:7" s="501" customFormat="1" ht="12.5">
      <c r="A264" s="579"/>
      <c r="C264" s="576"/>
      <c r="D264" s="576"/>
      <c r="E264" s="576"/>
      <c r="F264" s="576"/>
      <c r="G264" s="576"/>
    </row>
    <row r="265" spans="1:7" s="501" customFormat="1" ht="12.5">
      <c r="A265" s="579"/>
      <c r="C265" s="576"/>
      <c r="D265" s="576"/>
      <c r="E265" s="576"/>
      <c r="F265" s="576"/>
      <c r="G265" s="576"/>
    </row>
    <row r="266" spans="1:7" s="501" customFormat="1" ht="12.5">
      <c r="A266" s="579"/>
      <c r="C266" s="576"/>
      <c r="D266" s="576"/>
      <c r="E266" s="576"/>
      <c r="F266" s="576"/>
      <c r="G266" s="576"/>
    </row>
    <row r="267" spans="1:7" s="501" customFormat="1" ht="12.5">
      <c r="A267" s="579"/>
      <c r="C267" s="576"/>
      <c r="D267" s="576"/>
      <c r="E267" s="576"/>
      <c r="F267" s="576"/>
      <c r="G267" s="576"/>
    </row>
    <row r="268" spans="1:7" s="501" customFormat="1" ht="12.5">
      <c r="A268" s="579"/>
      <c r="C268" s="576"/>
      <c r="D268" s="576"/>
      <c r="E268" s="576"/>
      <c r="F268" s="576"/>
      <c r="G268" s="576"/>
    </row>
    <row r="269" spans="1:7" s="501" customFormat="1" ht="12.5">
      <c r="A269" s="579"/>
      <c r="C269" s="576"/>
      <c r="D269" s="576"/>
      <c r="E269" s="576"/>
      <c r="F269" s="576"/>
      <c r="G269" s="576"/>
    </row>
    <row r="270" spans="1:7" s="501" customFormat="1" ht="12.5">
      <c r="A270" s="579"/>
      <c r="C270" s="576"/>
      <c r="D270" s="576"/>
      <c r="E270" s="576"/>
      <c r="F270" s="576"/>
      <c r="G270" s="576"/>
    </row>
    <row r="271" spans="1:7" s="501" customFormat="1" ht="12.5">
      <c r="A271" s="579"/>
      <c r="C271" s="576"/>
      <c r="D271" s="576"/>
      <c r="E271" s="576"/>
      <c r="F271" s="576"/>
      <c r="G271" s="576"/>
    </row>
    <row r="272" spans="1:7" s="501" customFormat="1" ht="12.5">
      <c r="A272" s="579"/>
      <c r="C272" s="576"/>
      <c r="D272" s="576"/>
      <c r="E272" s="576"/>
      <c r="F272" s="576"/>
      <c r="G272" s="576"/>
    </row>
    <row r="273" spans="1:7" s="501" customFormat="1" ht="12.5">
      <c r="A273" s="579"/>
      <c r="C273" s="576"/>
      <c r="D273" s="576"/>
      <c r="E273" s="576"/>
      <c r="F273" s="576"/>
      <c r="G273" s="576"/>
    </row>
    <row r="274" spans="1:7" s="501" customFormat="1" ht="12.5">
      <c r="A274" s="579"/>
      <c r="C274" s="576"/>
      <c r="D274" s="576"/>
      <c r="E274" s="576"/>
      <c r="F274" s="576"/>
      <c r="G274" s="576"/>
    </row>
    <row r="275" spans="1:7" s="501" customFormat="1" ht="12.5">
      <c r="A275" s="579"/>
      <c r="C275" s="576"/>
      <c r="D275" s="576"/>
      <c r="E275" s="576"/>
      <c r="F275" s="576"/>
      <c r="G275" s="576"/>
    </row>
    <row r="276" spans="1:7" s="501" customFormat="1" ht="12.5">
      <c r="A276" s="579"/>
      <c r="C276" s="576"/>
      <c r="D276" s="576"/>
      <c r="E276" s="576"/>
      <c r="F276" s="576"/>
      <c r="G276" s="576"/>
    </row>
    <row r="277" spans="1:7" s="501" customFormat="1" ht="12.5">
      <c r="A277" s="579"/>
      <c r="C277" s="576"/>
      <c r="D277" s="576"/>
      <c r="E277" s="576"/>
      <c r="F277" s="576"/>
      <c r="G277" s="576"/>
    </row>
    <row r="278" spans="1:7" s="501" customFormat="1" ht="12.5">
      <c r="A278" s="579"/>
      <c r="C278" s="576"/>
      <c r="D278" s="576"/>
      <c r="E278" s="576"/>
      <c r="F278" s="576"/>
      <c r="G278" s="576"/>
    </row>
    <row r="279" spans="1:7" s="501" customFormat="1" ht="12.5">
      <c r="A279" s="579"/>
      <c r="C279" s="576"/>
      <c r="D279" s="576"/>
      <c r="E279" s="576"/>
      <c r="F279" s="576"/>
      <c r="G279" s="576"/>
    </row>
    <row r="280" spans="1:7" s="501" customFormat="1" ht="12.5">
      <c r="A280" s="579"/>
      <c r="C280" s="576"/>
      <c r="D280" s="576"/>
      <c r="E280" s="576"/>
      <c r="F280" s="576"/>
      <c r="G280" s="576"/>
    </row>
    <row r="281" spans="1:7" s="501" customFormat="1" ht="12.5">
      <c r="A281" s="579"/>
      <c r="C281" s="576"/>
      <c r="D281" s="576"/>
      <c r="E281" s="576"/>
      <c r="F281" s="576"/>
      <c r="G281" s="576"/>
    </row>
    <row r="282" spans="1:7" s="501" customFormat="1" ht="12.5">
      <c r="A282" s="579"/>
      <c r="C282" s="576"/>
      <c r="D282" s="576"/>
      <c r="E282" s="576"/>
      <c r="F282" s="576"/>
      <c r="G282" s="576"/>
    </row>
    <row r="283" spans="1:7" s="501" customFormat="1" ht="12.5">
      <c r="A283" s="579"/>
      <c r="C283" s="576"/>
      <c r="D283" s="576"/>
      <c r="E283" s="576"/>
      <c r="F283" s="576"/>
      <c r="G283" s="576"/>
    </row>
    <row r="284" spans="1:7" s="501" customFormat="1" ht="12.5">
      <c r="A284" s="579"/>
      <c r="C284" s="576"/>
      <c r="D284" s="576"/>
      <c r="E284" s="576"/>
      <c r="F284" s="576"/>
      <c r="G284" s="576"/>
    </row>
  </sheetData>
  <mergeCells count="2">
    <mergeCell ref="E7:F7"/>
    <mergeCell ref="H9:I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W198"/>
  <sheetViews>
    <sheetView topLeftCell="A49" workbookViewId="0">
      <selection activeCell="E52" sqref="E52"/>
    </sheetView>
  </sheetViews>
  <sheetFormatPr defaultColWidth="9.26953125" defaultRowHeight="11.5"/>
  <cols>
    <col min="1" max="1" width="3.7265625" style="140" customWidth="1"/>
    <col min="2" max="2" width="4.26953125" style="23" customWidth="1"/>
    <col min="3" max="3" width="6" style="23" customWidth="1"/>
    <col min="4" max="4" width="18.54296875" style="23" customWidth="1"/>
    <col min="5" max="5" width="5.1796875" style="23" customWidth="1"/>
    <col min="6" max="6" width="5.81640625" style="141" customWidth="1"/>
    <col min="7" max="7" width="4.453125" style="23" customWidth="1"/>
    <col min="8" max="8" width="8.7265625" style="87" customWidth="1"/>
    <col min="9" max="9" width="6.7265625" style="87" customWidth="1"/>
    <col min="10" max="10" width="9.1796875" style="87" customWidth="1"/>
    <col min="11" max="11" width="4.453125" style="23" customWidth="1"/>
    <col min="12" max="12" width="6.7265625" style="23" customWidth="1"/>
    <col min="13" max="13" width="6.54296875" style="23" customWidth="1"/>
    <col min="14" max="14" width="7.1796875" style="23" customWidth="1"/>
    <col min="15" max="15" width="7.7265625" style="23" customWidth="1"/>
    <col min="16" max="17" width="8.7265625" style="87" customWidth="1"/>
    <col min="18" max="18" width="7.1796875" style="25" customWidth="1"/>
    <col min="19" max="19" width="5.26953125" style="26" customWidth="1"/>
    <col min="20" max="20" width="7" style="139" customWidth="1"/>
    <col min="21" max="21" width="7.7265625" style="21" customWidth="1"/>
    <col min="22" max="22" width="9.26953125" style="22"/>
    <col min="23" max="16384" width="9.26953125" style="23"/>
  </cols>
  <sheetData>
    <row r="1" spans="1:23">
      <c r="A1" s="14"/>
      <c r="B1" s="15"/>
      <c r="C1" s="15"/>
      <c r="D1" s="15"/>
      <c r="E1" s="15"/>
      <c r="F1" s="16"/>
      <c r="G1" s="15"/>
      <c r="H1" s="17"/>
      <c r="I1" s="17"/>
      <c r="J1" s="17"/>
      <c r="K1" s="15"/>
      <c r="L1" s="15"/>
      <c r="M1" s="15"/>
      <c r="N1" s="15"/>
      <c r="O1" s="15"/>
      <c r="P1" s="17"/>
      <c r="Q1" s="17"/>
      <c r="R1" s="18"/>
      <c r="S1" s="19"/>
      <c r="T1" s="20" t="s">
        <v>145</v>
      </c>
    </row>
    <row r="2" spans="1:23">
      <c r="A2" s="791" t="s">
        <v>140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791"/>
      <c r="O2" s="791"/>
      <c r="P2" s="791"/>
      <c r="Q2" s="24"/>
      <c r="T2" s="27"/>
      <c r="U2" s="28"/>
    </row>
    <row r="3" spans="1:23" ht="12" thickBot="1">
      <c r="A3" s="792"/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  <c r="N3" s="792"/>
      <c r="O3" s="792"/>
      <c r="P3" s="792"/>
      <c r="Q3" s="15"/>
      <c r="R3" s="779" t="s">
        <v>0</v>
      </c>
      <c r="S3" s="779"/>
      <c r="T3" s="779"/>
      <c r="U3" s="22"/>
    </row>
    <row r="4" spans="1:23">
      <c r="A4" s="29"/>
      <c r="B4" s="30"/>
      <c r="C4" s="31"/>
      <c r="D4" s="32"/>
      <c r="E4" s="31" t="s">
        <v>1</v>
      </c>
      <c r="F4" s="33" t="s">
        <v>2</v>
      </c>
      <c r="G4" s="32"/>
      <c r="H4" s="34" t="s">
        <v>131</v>
      </c>
      <c r="I4" s="35"/>
      <c r="J4" s="35"/>
      <c r="K4" s="32"/>
      <c r="L4" s="36" t="s">
        <v>3</v>
      </c>
      <c r="M4" s="37" t="s">
        <v>4</v>
      </c>
      <c r="N4" s="37" t="s">
        <v>5</v>
      </c>
      <c r="O4" s="38" t="s">
        <v>6</v>
      </c>
      <c r="P4" s="39" t="s">
        <v>133</v>
      </c>
      <c r="Q4" s="40" t="s">
        <v>133</v>
      </c>
      <c r="R4" s="793"/>
      <c r="S4" s="794"/>
      <c r="T4" s="41" t="s">
        <v>7</v>
      </c>
      <c r="U4" s="42"/>
    </row>
    <row r="5" spans="1:23" s="56" customFormat="1" ht="35" thickBot="1">
      <c r="A5" s="43"/>
      <c r="B5" s="44" t="s">
        <v>8</v>
      </c>
      <c r="C5" s="45"/>
      <c r="D5" s="46" t="s">
        <v>9</v>
      </c>
      <c r="E5" s="47" t="s">
        <v>10</v>
      </c>
      <c r="F5" s="48" t="s">
        <v>11</v>
      </c>
      <c r="G5" s="49" t="s">
        <v>12</v>
      </c>
      <c r="H5" s="50" t="s">
        <v>13</v>
      </c>
      <c r="I5" s="51" t="s">
        <v>138</v>
      </c>
      <c r="J5" s="51" t="s">
        <v>14</v>
      </c>
      <c r="K5" s="13" t="s">
        <v>15</v>
      </c>
      <c r="L5" s="47" t="s">
        <v>16</v>
      </c>
      <c r="M5" s="52" t="s">
        <v>17</v>
      </c>
      <c r="N5" s="52" t="s">
        <v>18</v>
      </c>
      <c r="O5" s="52" t="s">
        <v>19</v>
      </c>
      <c r="P5" s="1" t="s">
        <v>20</v>
      </c>
      <c r="Q5" s="2" t="s">
        <v>21</v>
      </c>
      <c r="R5" s="795" t="s">
        <v>22</v>
      </c>
      <c r="S5" s="796"/>
      <c r="T5" s="53" t="s">
        <v>23</v>
      </c>
      <c r="U5" s="54"/>
      <c r="V5" s="55"/>
    </row>
    <row r="6" spans="1:23" ht="12" thickBot="1">
      <c r="A6" s="57">
        <f>SUM(A7:A37)</f>
        <v>31</v>
      </c>
      <c r="B6" s="58"/>
      <c r="C6" s="58"/>
      <c r="D6" s="59" t="s">
        <v>24</v>
      </c>
      <c r="E6" s="60">
        <f t="shared" ref="E6:Q6" si="0">SUM(E7:E37)</f>
        <v>181</v>
      </c>
      <c r="F6" s="61">
        <f t="shared" si="0"/>
        <v>20784</v>
      </c>
      <c r="G6" s="62">
        <f t="shared" si="0"/>
        <v>150</v>
      </c>
      <c r="H6" s="63">
        <f t="shared" si="0"/>
        <v>1655807</v>
      </c>
      <c r="I6" s="63">
        <f t="shared" si="0"/>
        <v>419639</v>
      </c>
      <c r="J6" s="63">
        <f t="shared" si="0"/>
        <v>1236168</v>
      </c>
      <c r="K6" s="62">
        <f t="shared" si="0"/>
        <v>178</v>
      </c>
      <c r="L6" s="64">
        <f t="shared" si="0"/>
        <v>79143</v>
      </c>
      <c r="M6" s="65">
        <f t="shared" si="0"/>
        <v>79126.75</v>
      </c>
      <c r="N6" s="65">
        <f t="shared" si="0"/>
        <v>158253.50000000006</v>
      </c>
      <c r="O6" s="65">
        <f t="shared" si="0"/>
        <v>79126.750000000015</v>
      </c>
      <c r="P6" s="66">
        <f t="shared" si="0"/>
        <v>395649.99999999994</v>
      </c>
      <c r="Q6" s="67">
        <f t="shared" si="0"/>
        <v>396368</v>
      </c>
      <c r="R6" s="68">
        <f t="shared" ref="R6:R37" si="1">+P6-T6</f>
        <v>32085.999999999942</v>
      </c>
      <c r="S6" s="69">
        <f t="shared" ref="S6:S37" si="2">+R6/T6*100</f>
        <v>8.8254062558448982</v>
      </c>
      <c r="T6" s="70">
        <f>SUM(T7:T37)</f>
        <v>363564</v>
      </c>
      <c r="U6" s="71"/>
    </row>
    <row r="7" spans="1:23">
      <c r="A7" s="72">
        <v>1</v>
      </c>
      <c r="B7" s="73">
        <v>1</v>
      </c>
      <c r="C7" s="797" t="s">
        <v>25</v>
      </c>
      <c r="D7" s="797"/>
      <c r="E7" s="74">
        <v>25</v>
      </c>
      <c r="F7" s="74">
        <v>2016</v>
      </c>
      <c r="G7" s="75">
        <v>9</v>
      </c>
      <c r="H7" s="76">
        <v>113571</v>
      </c>
      <c r="I7" s="77">
        <v>30818</v>
      </c>
      <c r="J7" s="78">
        <f t="shared" ref="J7:J37" si="3">+H7-I7</f>
        <v>82753</v>
      </c>
      <c r="K7" s="75">
        <v>9</v>
      </c>
      <c r="L7" s="79">
        <f t="shared" ref="L7:L37" si="4">+$J$43</f>
        <v>2553</v>
      </c>
      <c r="M7" s="80">
        <f t="shared" ref="M7:M37" si="5">+$P$44*E7/$E$6</f>
        <v>10929.1091160221</v>
      </c>
      <c r="N7" s="80">
        <f t="shared" ref="N7:N37" si="6">+$P$45*G7/$G$6</f>
        <v>9495.2099999999991</v>
      </c>
      <c r="O7" s="80">
        <f t="shared" ref="O7:O37" si="7">+$P$46*K7/$K$6</f>
        <v>4000.7907303370785</v>
      </c>
      <c r="P7" s="81">
        <f t="shared" ref="P7:P37" si="8">SUM(L7:O7)</f>
        <v>26978.109846359177</v>
      </c>
      <c r="Q7" s="176">
        <f>26978-1</f>
        <v>26977</v>
      </c>
      <c r="R7" s="177">
        <f t="shared" si="1"/>
        <v>1447.109846359177</v>
      </c>
      <c r="S7" s="83">
        <f t="shared" si="2"/>
        <v>5.6680500033652308</v>
      </c>
      <c r="T7" s="84">
        <v>25531</v>
      </c>
      <c r="U7" s="85"/>
      <c r="V7" s="86"/>
      <c r="W7" s="87"/>
    </row>
    <row r="8" spans="1:23">
      <c r="A8" s="88">
        <v>1</v>
      </c>
      <c r="B8" s="89">
        <v>2</v>
      </c>
      <c r="C8" s="790" t="s">
        <v>26</v>
      </c>
      <c r="D8" s="790"/>
      <c r="E8" s="90">
        <v>21</v>
      </c>
      <c r="F8" s="90">
        <v>6002</v>
      </c>
      <c r="G8" s="91">
        <v>10</v>
      </c>
      <c r="H8" s="92">
        <v>81090</v>
      </c>
      <c r="I8" s="93">
        <v>23209</v>
      </c>
      <c r="J8" s="94">
        <f t="shared" si="3"/>
        <v>57881</v>
      </c>
      <c r="K8" s="95">
        <v>8</v>
      </c>
      <c r="L8" s="96">
        <f t="shared" si="4"/>
        <v>2553</v>
      </c>
      <c r="M8" s="97">
        <f t="shared" si="5"/>
        <v>9180.4516574585632</v>
      </c>
      <c r="N8" s="97">
        <f t="shared" si="6"/>
        <v>10550.233333333334</v>
      </c>
      <c r="O8" s="97">
        <f t="shared" si="7"/>
        <v>3556.2584269662921</v>
      </c>
      <c r="P8" s="98">
        <f t="shared" si="8"/>
        <v>25839.943417758186</v>
      </c>
      <c r="Q8" s="99">
        <v>25840</v>
      </c>
      <c r="R8" s="100">
        <f t="shared" si="1"/>
        <v>2630.9434177581861</v>
      </c>
      <c r="S8" s="101">
        <f t="shared" si="2"/>
        <v>11.335875814374537</v>
      </c>
      <c r="T8" s="102">
        <v>23209</v>
      </c>
      <c r="U8" s="103"/>
      <c r="V8" s="86"/>
      <c r="W8" s="87"/>
    </row>
    <row r="9" spans="1:23">
      <c r="A9" s="88">
        <v>1</v>
      </c>
      <c r="B9" s="89">
        <v>3</v>
      </c>
      <c r="C9" s="790" t="s">
        <v>27</v>
      </c>
      <c r="D9" s="790"/>
      <c r="E9" s="90">
        <v>16</v>
      </c>
      <c r="F9" s="104">
        <v>1449</v>
      </c>
      <c r="G9" s="91">
        <v>8</v>
      </c>
      <c r="H9" s="92">
        <v>72601</v>
      </c>
      <c r="I9" s="93">
        <v>18687</v>
      </c>
      <c r="J9" s="94">
        <f t="shared" si="3"/>
        <v>53914</v>
      </c>
      <c r="K9" s="95">
        <v>8</v>
      </c>
      <c r="L9" s="96">
        <f t="shared" si="4"/>
        <v>2553</v>
      </c>
      <c r="M9" s="97">
        <f t="shared" si="5"/>
        <v>6994.629834254144</v>
      </c>
      <c r="N9" s="97">
        <f t="shared" si="6"/>
        <v>8440.1866666666665</v>
      </c>
      <c r="O9" s="97">
        <f t="shared" si="7"/>
        <v>3556.2584269662921</v>
      </c>
      <c r="P9" s="98">
        <f t="shared" si="8"/>
        <v>21544.074927887101</v>
      </c>
      <c r="Q9" s="99">
        <v>21544</v>
      </c>
      <c r="R9" s="100">
        <f t="shared" si="1"/>
        <v>2288.0749278871008</v>
      </c>
      <c r="S9" s="101">
        <f t="shared" si="2"/>
        <v>11.882399916322708</v>
      </c>
      <c r="T9" s="102">
        <v>19256</v>
      </c>
      <c r="U9" s="85"/>
      <c r="V9" s="86"/>
      <c r="W9" s="87"/>
    </row>
    <row r="10" spans="1:23">
      <c r="A10" s="88">
        <v>1</v>
      </c>
      <c r="B10" s="89">
        <v>4</v>
      </c>
      <c r="C10" s="790" t="s">
        <v>28</v>
      </c>
      <c r="D10" s="790"/>
      <c r="E10" s="105">
        <v>13</v>
      </c>
      <c r="F10" s="104">
        <v>1540</v>
      </c>
      <c r="G10" s="91">
        <v>8</v>
      </c>
      <c r="H10" s="92">
        <v>343727</v>
      </c>
      <c r="I10" s="93">
        <v>24031</v>
      </c>
      <c r="J10" s="106">
        <f t="shared" si="3"/>
        <v>319696</v>
      </c>
      <c r="K10" s="91">
        <v>10</v>
      </c>
      <c r="L10" s="96">
        <f t="shared" si="4"/>
        <v>2553</v>
      </c>
      <c r="M10" s="97">
        <f t="shared" si="5"/>
        <v>5683.1367403314916</v>
      </c>
      <c r="N10" s="97">
        <f t="shared" si="6"/>
        <v>8440.1866666666665</v>
      </c>
      <c r="O10" s="97">
        <f t="shared" si="7"/>
        <v>4445.3230337078649</v>
      </c>
      <c r="P10" s="98">
        <f t="shared" si="8"/>
        <v>21121.646440706019</v>
      </c>
      <c r="Q10" s="99">
        <v>21122</v>
      </c>
      <c r="R10" s="100">
        <f t="shared" si="1"/>
        <v>1379.6464407060193</v>
      </c>
      <c r="S10" s="101">
        <f t="shared" si="2"/>
        <v>6.9883823356601118</v>
      </c>
      <c r="T10" s="102">
        <v>19742</v>
      </c>
      <c r="U10" s="103"/>
      <c r="V10" s="86"/>
      <c r="W10" s="87"/>
    </row>
    <row r="11" spans="1:23">
      <c r="A11" s="88">
        <v>1</v>
      </c>
      <c r="B11" s="89">
        <v>5</v>
      </c>
      <c r="C11" s="790" t="s">
        <v>29</v>
      </c>
      <c r="D11" s="790"/>
      <c r="E11" s="105">
        <v>13</v>
      </c>
      <c r="F11" s="104">
        <v>1773</v>
      </c>
      <c r="G11" s="91">
        <v>8</v>
      </c>
      <c r="H11" s="92">
        <v>239060</v>
      </c>
      <c r="I11" s="93">
        <v>19592</v>
      </c>
      <c r="J11" s="106">
        <f t="shared" si="3"/>
        <v>219468</v>
      </c>
      <c r="K11" s="91">
        <v>10</v>
      </c>
      <c r="L11" s="96">
        <f t="shared" si="4"/>
        <v>2553</v>
      </c>
      <c r="M11" s="97">
        <f t="shared" si="5"/>
        <v>5683.1367403314916</v>
      </c>
      <c r="N11" s="97">
        <f t="shared" si="6"/>
        <v>8440.1866666666665</v>
      </c>
      <c r="O11" s="97">
        <f t="shared" si="7"/>
        <v>4445.3230337078649</v>
      </c>
      <c r="P11" s="98">
        <f t="shared" si="8"/>
        <v>21121.646440706019</v>
      </c>
      <c r="Q11" s="99">
        <v>21122</v>
      </c>
      <c r="R11" s="100">
        <f t="shared" si="1"/>
        <v>1379.6464407060193</v>
      </c>
      <c r="S11" s="101">
        <f t="shared" si="2"/>
        <v>6.9883823356601118</v>
      </c>
      <c r="T11" s="102">
        <v>19742</v>
      </c>
      <c r="U11" s="103"/>
      <c r="V11" s="86"/>
      <c r="W11" s="87"/>
    </row>
    <row r="12" spans="1:23">
      <c r="A12" s="88">
        <v>1</v>
      </c>
      <c r="B12" s="89">
        <v>6</v>
      </c>
      <c r="C12" s="790" t="s">
        <v>30</v>
      </c>
      <c r="D12" s="790"/>
      <c r="E12" s="105">
        <v>17</v>
      </c>
      <c r="F12" s="90">
        <v>1221</v>
      </c>
      <c r="G12" s="95">
        <v>8</v>
      </c>
      <c r="H12" s="92">
        <v>48915</v>
      </c>
      <c r="I12" s="93">
        <v>19410</v>
      </c>
      <c r="J12" s="106">
        <f t="shared" si="3"/>
        <v>29505</v>
      </c>
      <c r="K12" s="91">
        <v>7</v>
      </c>
      <c r="L12" s="96">
        <f t="shared" si="4"/>
        <v>2553</v>
      </c>
      <c r="M12" s="97">
        <f t="shared" si="5"/>
        <v>7431.7941988950279</v>
      </c>
      <c r="N12" s="97">
        <f t="shared" si="6"/>
        <v>8440.1866666666665</v>
      </c>
      <c r="O12" s="97">
        <f t="shared" si="7"/>
        <v>3111.7261235955057</v>
      </c>
      <c r="P12" s="98">
        <f t="shared" si="8"/>
        <v>21536.706989157199</v>
      </c>
      <c r="Q12" s="99">
        <v>21537</v>
      </c>
      <c r="R12" s="100">
        <f t="shared" si="1"/>
        <v>2434.7069891571991</v>
      </c>
      <c r="S12" s="101">
        <f t="shared" si="2"/>
        <v>12.745822370208352</v>
      </c>
      <c r="T12" s="102">
        <v>19102</v>
      </c>
      <c r="U12" s="103"/>
      <c r="V12" s="86"/>
      <c r="W12" s="87"/>
    </row>
    <row r="13" spans="1:23">
      <c r="A13" s="88">
        <v>1</v>
      </c>
      <c r="B13" s="89">
        <v>7</v>
      </c>
      <c r="C13" s="790" t="s">
        <v>31</v>
      </c>
      <c r="D13" s="790"/>
      <c r="E13" s="105">
        <v>9</v>
      </c>
      <c r="F13" s="90">
        <v>835</v>
      </c>
      <c r="G13" s="91">
        <v>7</v>
      </c>
      <c r="H13" s="92">
        <v>100591</v>
      </c>
      <c r="I13" s="93">
        <v>19951</v>
      </c>
      <c r="J13" s="94">
        <f t="shared" si="3"/>
        <v>80640</v>
      </c>
      <c r="K13" s="91">
        <v>8</v>
      </c>
      <c r="L13" s="96">
        <f t="shared" si="4"/>
        <v>2553</v>
      </c>
      <c r="M13" s="97">
        <f t="shared" si="5"/>
        <v>3934.4792817679559</v>
      </c>
      <c r="N13" s="97">
        <f t="shared" si="6"/>
        <v>7385.163333333333</v>
      </c>
      <c r="O13" s="97">
        <f t="shared" si="7"/>
        <v>3556.2584269662921</v>
      </c>
      <c r="P13" s="98">
        <f t="shared" si="8"/>
        <v>17428.90104206758</v>
      </c>
      <c r="Q13" s="99">
        <v>17429</v>
      </c>
      <c r="R13" s="100">
        <f t="shared" si="1"/>
        <v>1134.9010420675804</v>
      </c>
      <c r="S13" s="101">
        <f t="shared" si="2"/>
        <v>6.9651469379377717</v>
      </c>
      <c r="T13" s="102">
        <v>16294</v>
      </c>
      <c r="U13" s="103"/>
      <c r="V13" s="86"/>
      <c r="W13" s="87"/>
    </row>
    <row r="14" spans="1:23">
      <c r="A14" s="88">
        <v>1</v>
      </c>
      <c r="B14" s="89">
        <v>8</v>
      </c>
      <c r="C14" s="790" t="s">
        <v>32</v>
      </c>
      <c r="D14" s="790"/>
      <c r="E14" s="104">
        <v>12</v>
      </c>
      <c r="F14" s="104">
        <v>696</v>
      </c>
      <c r="G14" s="91">
        <v>6</v>
      </c>
      <c r="H14" s="92">
        <v>47667</v>
      </c>
      <c r="I14" s="93">
        <v>32439</v>
      </c>
      <c r="J14" s="94">
        <f t="shared" si="3"/>
        <v>15228</v>
      </c>
      <c r="K14" s="95">
        <v>6</v>
      </c>
      <c r="L14" s="96">
        <f t="shared" si="4"/>
        <v>2553</v>
      </c>
      <c r="M14" s="97">
        <f t="shared" si="5"/>
        <v>5245.9723756906078</v>
      </c>
      <c r="N14" s="97">
        <f t="shared" si="6"/>
        <v>6330.14</v>
      </c>
      <c r="O14" s="97">
        <f t="shared" si="7"/>
        <v>2667.1938202247193</v>
      </c>
      <c r="P14" s="98">
        <f t="shared" si="8"/>
        <v>16796.306195915327</v>
      </c>
      <c r="Q14" s="99">
        <v>16796</v>
      </c>
      <c r="R14" s="100">
        <f t="shared" si="1"/>
        <v>1980.3061959153274</v>
      </c>
      <c r="S14" s="101">
        <f t="shared" si="2"/>
        <v>13.365997542625049</v>
      </c>
      <c r="T14" s="102">
        <v>14816</v>
      </c>
      <c r="U14" s="103"/>
      <c r="V14" s="86"/>
      <c r="W14" s="87"/>
    </row>
    <row r="15" spans="1:23">
      <c r="A15" s="88">
        <v>1</v>
      </c>
      <c r="B15" s="89">
        <v>9</v>
      </c>
      <c r="C15" s="790" t="s">
        <v>33</v>
      </c>
      <c r="D15" s="790"/>
      <c r="E15" s="104">
        <v>11</v>
      </c>
      <c r="F15" s="108">
        <v>579</v>
      </c>
      <c r="G15" s="91">
        <v>6</v>
      </c>
      <c r="H15" s="92">
        <v>96308</v>
      </c>
      <c r="I15" s="93">
        <v>17055</v>
      </c>
      <c r="J15" s="94">
        <f t="shared" si="3"/>
        <v>79253</v>
      </c>
      <c r="K15" s="95">
        <v>8</v>
      </c>
      <c r="L15" s="96">
        <f t="shared" si="4"/>
        <v>2553</v>
      </c>
      <c r="M15" s="97">
        <f t="shared" si="5"/>
        <v>4808.808011049724</v>
      </c>
      <c r="N15" s="97">
        <f t="shared" si="6"/>
        <v>6330.14</v>
      </c>
      <c r="O15" s="97">
        <f t="shared" si="7"/>
        <v>3556.2584269662921</v>
      </c>
      <c r="P15" s="98">
        <f t="shared" si="8"/>
        <v>17248.206438016015</v>
      </c>
      <c r="Q15" s="99">
        <v>17248</v>
      </c>
      <c r="R15" s="100">
        <f t="shared" si="1"/>
        <v>1540.2064380160155</v>
      </c>
      <c r="S15" s="101">
        <f t="shared" si="2"/>
        <v>9.8052357907818664</v>
      </c>
      <c r="T15" s="102">
        <v>15708</v>
      </c>
      <c r="U15" s="103"/>
      <c r="V15" s="86"/>
      <c r="W15" s="87"/>
    </row>
    <row r="16" spans="1:23">
      <c r="A16" s="88">
        <v>1</v>
      </c>
      <c r="B16" s="89">
        <v>10</v>
      </c>
      <c r="C16" s="790" t="s">
        <v>34</v>
      </c>
      <c r="D16" s="790"/>
      <c r="E16" s="105">
        <v>3</v>
      </c>
      <c r="F16" s="104">
        <v>338</v>
      </c>
      <c r="G16" s="91">
        <v>5</v>
      </c>
      <c r="H16" s="92">
        <v>27056</v>
      </c>
      <c r="I16" s="93">
        <v>11194</v>
      </c>
      <c r="J16" s="94">
        <f t="shared" si="3"/>
        <v>15862</v>
      </c>
      <c r="K16" s="95">
        <v>6</v>
      </c>
      <c r="L16" s="96">
        <f t="shared" si="4"/>
        <v>2553</v>
      </c>
      <c r="M16" s="97">
        <f t="shared" si="5"/>
        <v>1311.493093922652</v>
      </c>
      <c r="N16" s="97">
        <f t="shared" si="6"/>
        <v>5275.1166666666668</v>
      </c>
      <c r="O16" s="109">
        <f t="shared" si="7"/>
        <v>2667.1938202247193</v>
      </c>
      <c r="P16" s="98">
        <f t="shared" si="8"/>
        <v>11806.803580814038</v>
      </c>
      <c r="Q16" s="99">
        <v>11807</v>
      </c>
      <c r="R16" s="100">
        <f t="shared" si="1"/>
        <v>1166.8035808140376</v>
      </c>
      <c r="S16" s="101">
        <f t="shared" si="2"/>
        <v>10.966199067801105</v>
      </c>
      <c r="T16" s="102">
        <v>10640</v>
      </c>
      <c r="U16" s="85"/>
      <c r="V16" s="86"/>
      <c r="W16" s="87"/>
    </row>
    <row r="17" spans="1:23">
      <c r="A17" s="88">
        <v>1</v>
      </c>
      <c r="B17" s="89">
        <v>11</v>
      </c>
      <c r="C17" s="790" t="s">
        <v>35</v>
      </c>
      <c r="D17" s="790"/>
      <c r="E17" s="90">
        <v>5</v>
      </c>
      <c r="F17" s="90">
        <v>517</v>
      </c>
      <c r="G17" s="91">
        <v>6</v>
      </c>
      <c r="H17" s="92">
        <v>24044</v>
      </c>
      <c r="I17" s="93">
        <v>13381</v>
      </c>
      <c r="J17" s="110">
        <f t="shared" si="3"/>
        <v>10663</v>
      </c>
      <c r="K17" s="111">
        <v>6</v>
      </c>
      <c r="L17" s="96">
        <f t="shared" si="4"/>
        <v>2553</v>
      </c>
      <c r="M17" s="97">
        <f t="shared" si="5"/>
        <v>2185.8218232044201</v>
      </c>
      <c r="N17" s="97">
        <f t="shared" si="6"/>
        <v>6330.14</v>
      </c>
      <c r="O17" s="109">
        <f t="shared" si="7"/>
        <v>2667.1938202247193</v>
      </c>
      <c r="P17" s="98">
        <f t="shared" si="8"/>
        <v>13736.155643429138</v>
      </c>
      <c r="Q17" s="99">
        <v>13736</v>
      </c>
      <c r="R17" s="100">
        <f t="shared" si="1"/>
        <v>863.15564342913785</v>
      </c>
      <c r="S17" s="101">
        <f t="shared" si="2"/>
        <v>6.7051630810932794</v>
      </c>
      <c r="T17" s="102">
        <v>12873</v>
      </c>
      <c r="U17" s="103"/>
      <c r="V17" s="86"/>
      <c r="W17" s="87"/>
    </row>
    <row r="18" spans="1:23">
      <c r="A18" s="88">
        <v>1</v>
      </c>
      <c r="B18" s="89">
        <v>12</v>
      </c>
      <c r="C18" s="790" t="s">
        <v>36</v>
      </c>
      <c r="D18" s="790"/>
      <c r="E18" s="105">
        <v>1</v>
      </c>
      <c r="F18" s="108">
        <v>320</v>
      </c>
      <c r="G18" s="111">
        <v>5</v>
      </c>
      <c r="H18" s="92">
        <v>41158</v>
      </c>
      <c r="I18" s="93">
        <v>12209</v>
      </c>
      <c r="J18" s="110">
        <f t="shared" si="3"/>
        <v>28949</v>
      </c>
      <c r="K18" s="91">
        <v>7</v>
      </c>
      <c r="L18" s="96">
        <f t="shared" si="4"/>
        <v>2553</v>
      </c>
      <c r="M18" s="97">
        <f t="shared" si="5"/>
        <v>437.164364640884</v>
      </c>
      <c r="N18" s="97">
        <f t="shared" si="6"/>
        <v>5275.1166666666668</v>
      </c>
      <c r="O18" s="109">
        <f t="shared" si="7"/>
        <v>3111.7261235955057</v>
      </c>
      <c r="P18" s="98">
        <f t="shared" si="8"/>
        <v>11377.007154903054</v>
      </c>
      <c r="Q18" s="178">
        <v>11377</v>
      </c>
      <c r="R18" s="107">
        <f t="shared" si="1"/>
        <v>-280.99284509694553</v>
      </c>
      <c r="S18" s="101">
        <f t="shared" si="2"/>
        <v>-2.410300609855426</v>
      </c>
      <c r="T18" s="102">
        <v>11658</v>
      </c>
      <c r="U18" s="103"/>
      <c r="V18" s="86">
        <f>+R18</f>
        <v>-280.99284509694553</v>
      </c>
      <c r="W18" s="87"/>
    </row>
    <row r="19" spans="1:23">
      <c r="A19" s="88">
        <v>1</v>
      </c>
      <c r="B19" s="89">
        <v>13</v>
      </c>
      <c r="C19" s="790" t="s">
        <v>37</v>
      </c>
      <c r="D19" s="790"/>
      <c r="E19" s="104">
        <v>4</v>
      </c>
      <c r="F19" s="104">
        <v>345</v>
      </c>
      <c r="G19" s="91">
        <v>5</v>
      </c>
      <c r="H19" s="92">
        <v>30322</v>
      </c>
      <c r="I19" s="93">
        <v>11585</v>
      </c>
      <c r="J19" s="94">
        <f t="shared" si="3"/>
        <v>18737</v>
      </c>
      <c r="K19" s="91">
        <v>6</v>
      </c>
      <c r="L19" s="96">
        <f t="shared" si="4"/>
        <v>2553</v>
      </c>
      <c r="M19" s="97">
        <f t="shared" si="5"/>
        <v>1748.657458563536</v>
      </c>
      <c r="N19" s="97">
        <f t="shared" si="6"/>
        <v>5275.1166666666668</v>
      </c>
      <c r="O19" s="109">
        <f t="shared" si="7"/>
        <v>2667.1938202247193</v>
      </c>
      <c r="P19" s="98">
        <f t="shared" si="8"/>
        <v>12243.967945454922</v>
      </c>
      <c r="Q19" s="99">
        <v>12244</v>
      </c>
      <c r="R19" s="100">
        <f t="shared" si="1"/>
        <v>766.9679454549223</v>
      </c>
      <c r="S19" s="112">
        <f t="shared" si="2"/>
        <v>6.6826517857882921</v>
      </c>
      <c r="T19" s="102">
        <v>11477</v>
      </c>
      <c r="U19" s="85"/>
      <c r="V19" s="86"/>
      <c r="W19" s="87"/>
    </row>
    <row r="20" spans="1:23">
      <c r="A20" s="88">
        <v>1</v>
      </c>
      <c r="B20" s="89">
        <v>14</v>
      </c>
      <c r="C20" s="790" t="s">
        <v>38</v>
      </c>
      <c r="D20" s="790"/>
      <c r="E20" s="105">
        <v>7</v>
      </c>
      <c r="F20" s="104">
        <v>305</v>
      </c>
      <c r="G20" s="91">
        <v>5</v>
      </c>
      <c r="H20" s="92">
        <v>59339</v>
      </c>
      <c r="I20" s="93">
        <v>12758</v>
      </c>
      <c r="J20" s="94">
        <f t="shared" si="3"/>
        <v>46581</v>
      </c>
      <c r="K20" s="95">
        <v>8</v>
      </c>
      <c r="L20" s="113">
        <f t="shared" si="4"/>
        <v>2553</v>
      </c>
      <c r="M20" s="109">
        <f t="shared" si="5"/>
        <v>3060.1505524861877</v>
      </c>
      <c r="N20" s="109">
        <f t="shared" si="6"/>
        <v>5275.1166666666668</v>
      </c>
      <c r="O20" s="109">
        <f t="shared" si="7"/>
        <v>3556.2584269662921</v>
      </c>
      <c r="P20" s="98">
        <f t="shared" si="8"/>
        <v>14444.525646119146</v>
      </c>
      <c r="Q20" s="99">
        <v>14445</v>
      </c>
      <c r="R20" s="100">
        <f t="shared" si="1"/>
        <v>2184.5256461191457</v>
      </c>
      <c r="S20" s="112">
        <f t="shared" si="2"/>
        <v>17.81831685252158</v>
      </c>
      <c r="T20" s="102">
        <v>12260</v>
      </c>
      <c r="U20" s="85"/>
      <c r="V20" s="86"/>
      <c r="W20" s="87"/>
    </row>
    <row r="21" spans="1:23">
      <c r="A21" s="88">
        <v>1</v>
      </c>
      <c r="B21" s="89">
        <v>15</v>
      </c>
      <c r="C21" s="790" t="s">
        <v>39</v>
      </c>
      <c r="D21" s="790"/>
      <c r="E21" s="114">
        <v>7</v>
      </c>
      <c r="F21" s="108">
        <v>384</v>
      </c>
      <c r="G21" s="111">
        <v>5</v>
      </c>
      <c r="H21" s="92">
        <v>39254</v>
      </c>
      <c r="I21" s="93">
        <v>13562</v>
      </c>
      <c r="J21" s="94">
        <f>+H21-I21</f>
        <v>25692</v>
      </c>
      <c r="K21" s="95">
        <v>7</v>
      </c>
      <c r="L21" s="96">
        <f t="shared" si="4"/>
        <v>2553</v>
      </c>
      <c r="M21" s="97">
        <f t="shared" si="5"/>
        <v>3060.1505524861877</v>
      </c>
      <c r="N21" s="97">
        <f t="shared" si="6"/>
        <v>5275.1166666666668</v>
      </c>
      <c r="O21" s="109">
        <f t="shared" si="7"/>
        <v>3111.7261235955057</v>
      </c>
      <c r="P21" s="98">
        <f t="shared" si="8"/>
        <v>13999.993342748359</v>
      </c>
      <c r="Q21" s="99">
        <v>14000</v>
      </c>
      <c r="R21" s="100">
        <f t="shared" si="1"/>
        <v>775.99334274835928</v>
      </c>
      <c r="S21" s="112">
        <f t="shared" si="2"/>
        <v>5.8680682300995111</v>
      </c>
      <c r="T21" s="102">
        <v>13224</v>
      </c>
      <c r="U21" s="85"/>
      <c r="V21" s="86"/>
      <c r="W21" s="87"/>
    </row>
    <row r="22" spans="1:23">
      <c r="A22" s="88">
        <v>1</v>
      </c>
      <c r="B22" s="89">
        <v>16</v>
      </c>
      <c r="C22" s="790" t="s">
        <v>40</v>
      </c>
      <c r="D22" s="790"/>
      <c r="E22" s="105">
        <v>2</v>
      </c>
      <c r="F22" s="104">
        <v>142</v>
      </c>
      <c r="G22" s="91">
        <v>3</v>
      </c>
      <c r="H22" s="92">
        <v>8461</v>
      </c>
      <c r="I22" s="93">
        <v>7073</v>
      </c>
      <c r="J22" s="94">
        <f>+H22-I22</f>
        <v>1388</v>
      </c>
      <c r="K22" s="95">
        <v>3</v>
      </c>
      <c r="L22" s="96">
        <f t="shared" si="4"/>
        <v>2553</v>
      </c>
      <c r="M22" s="97">
        <f t="shared" si="5"/>
        <v>874.32872928176801</v>
      </c>
      <c r="N22" s="97">
        <f t="shared" si="6"/>
        <v>3165.07</v>
      </c>
      <c r="O22" s="109">
        <f t="shared" si="7"/>
        <v>1333.5969101123596</v>
      </c>
      <c r="P22" s="98">
        <f t="shared" si="8"/>
        <v>7925.9956393941284</v>
      </c>
      <c r="Q22" s="99">
        <v>7926</v>
      </c>
      <c r="R22" s="100">
        <f t="shared" si="1"/>
        <v>1273.9956393941284</v>
      </c>
      <c r="S22" s="112">
        <f t="shared" si="2"/>
        <v>19.152069143026583</v>
      </c>
      <c r="T22" s="102">
        <v>6652</v>
      </c>
      <c r="U22" s="103"/>
      <c r="V22" s="86"/>
      <c r="W22" s="87"/>
    </row>
    <row r="23" spans="1:23">
      <c r="A23" s="88">
        <v>1</v>
      </c>
      <c r="B23" s="89">
        <v>17</v>
      </c>
      <c r="C23" s="790" t="s">
        <v>41</v>
      </c>
      <c r="D23" s="790"/>
      <c r="E23" s="105">
        <v>0</v>
      </c>
      <c r="F23" s="104">
        <v>75</v>
      </c>
      <c r="G23" s="91">
        <v>2</v>
      </c>
      <c r="H23" s="92">
        <v>8700</v>
      </c>
      <c r="I23" s="93">
        <v>7174</v>
      </c>
      <c r="J23" s="110">
        <f t="shared" si="3"/>
        <v>1526</v>
      </c>
      <c r="K23" s="91">
        <v>3</v>
      </c>
      <c r="L23" s="96">
        <f t="shared" si="4"/>
        <v>2553</v>
      </c>
      <c r="M23" s="97">
        <f t="shared" si="5"/>
        <v>0</v>
      </c>
      <c r="N23" s="97">
        <f t="shared" si="6"/>
        <v>2110.0466666666666</v>
      </c>
      <c r="O23" s="109">
        <f t="shared" si="7"/>
        <v>1333.5969101123596</v>
      </c>
      <c r="P23" s="98">
        <f t="shared" si="8"/>
        <v>5996.6435767790263</v>
      </c>
      <c r="Q23" s="178">
        <v>6714</v>
      </c>
      <c r="R23" s="180">
        <f t="shared" si="1"/>
        <v>-717.35642322097374</v>
      </c>
      <c r="S23" s="112">
        <f t="shared" si="2"/>
        <v>-10.684486494205746</v>
      </c>
      <c r="T23" s="102">
        <v>6714</v>
      </c>
      <c r="U23" s="181">
        <f>+R23</f>
        <v>-717.35642322097374</v>
      </c>
      <c r="V23" s="86">
        <f>+R23</f>
        <v>-717.35642322097374</v>
      </c>
      <c r="W23" s="87"/>
    </row>
    <row r="24" spans="1:23">
      <c r="A24" s="88">
        <v>1</v>
      </c>
      <c r="B24" s="89">
        <v>18</v>
      </c>
      <c r="C24" s="790" t="s">
        <v>42</v>
      </c>
      <c r="D24" s="790"/>
      <c r="E24" s="105">
        <v>0</v>
      </c>
      <c r="F24" s="108">
        <v>153</v>
      </c>
      <c r="G24" s="95">
        <v>3</v>
      </c>
      <c r="H24" s="92">
        <v>11145</v>
      </c>
      <c r="I24" s="93">
        <v>8287</v>
      </c>
      <c r="J24" s="110">
        <f t="shared" si="3"/>
        <v>2858</v>
      </c>
      <c r="K24" s="111">
        <v>4</v>
      </c>
      <c r="L24" s="96">
        <f t="shared" si="4"/>
        <v>2553</v>
      </c>
      <c r="M24" s="97">
        <f t="shared" si="5"/>
        <v>0</v>
      </c>
      <c r="N24" s="97">
        <f t="shared" si="6"/>
        <v>3165.07</v>
      </c>
      <c r="O24" s="109">
        <f t="shared" si="7"/>
        <v>1778.129213483146</v>
      </c>
      <c r="P24" s="98">
        <f t="shared" si="8"/>
        <v>7496.1992134831453</v>
      </c>
      <c r="Q24" s="178">
        <v>7496</v>
      </c>
      <c r="R24" s="107">
        <f t="shared" si="1"/>
        <v>-1728.8007865168547</v>
      </c>
      <c r="S24" s="112">
        <f t="shared" si="2"/>
        <v>-18.740387929722001</v>
      </c>
      <c r="T24" s="102">
        <v>9225</v>
      </c>
      <c r="U24" s="103"/>
      <c r="V24" s="86">
        <f>+R24</f>
        <v>-1728.8007865168547</v>
      </c>
      <c r="W24" s="87"/>
    </row>
    <row r="25" spans="1:23">
      <c r="A25" s="88">
        <v>1</v>
      </c>
      <c r="B25" s="89">
        <v>19</v>
      </c>
      <c r="C25" s="790" t="s">
        <v>43</v>
      </c>
      <c r="D25" s="790"/>
      <c r="E25" s="105">
        <v>0</v>
      </c>
      <c r="F25" s="104">
        <v>82</v>
      </c>
      <c r="G25" s="91">
        <v>2</v>
      </c>
      <c r="H25" s="92">
        <v>6847</v>
      </c>
      <c r="I25" s="93">
        <v>5917</v>
      </c>
      <c r="J25" s="110">
        <f t="shared" si="3"/>
        <v>930</v>
      </c>
      <c r="K25" s="111">
        <v>2</v>
      </c>
      <c r="L25" s="96">
        <f t="shared" si="4"/>
        <v>2553</v>
      </c>
      <c r="M25" s="97">
        <f t="shared" si="5"/>
        <v>0</v>
      </c>
      <c r="N25" s="97">
        <f t="shared" si="6"/>
        <v>2110.0466666666666</v>
      </c>
      <c r="O25" s="109">
        <f t="shared" si="7"/>
        <v>889.06460674157302</v>
      </c>
      <c r="P25" s="98">
        <f t="shared" si="8"/>
        <v>5552.1112734082399</v>
      </c>
      <c r="Q25" s="178">
        <v>5552</v>
      </c>
      <c r="R25" s="107">
        <f t="shared" si="1"/>
        <v>-116.88872659176013</v>
      </c>
      <c r="S25" s="112">
        <f t="shared" si="2"/>
        <v>-2.0618932191173069</v>
      </c>
      <c r="T25" s="102">
        <v>5669</v>
      </c>
      <c r="U25" s="103"/>
      <c r="V25" s="86">
        <f>+R25</f>
        <v>-116.88872659176013</v>
      </c>
      <c r="W25" s="87"/>
    </row>
    <row r="26" spans="1:23">
      <c r="A26" s="88">
        <v>1</v>
      </c>
      <c r="B26" s="89">
        <v>20</v>
      </c>
      <c r="C26" s="790" t="s">
        <v>44</v>
      </c>
      <c r="D26" s="790"/>
      <c r="E26" s="104">
        <v>8</v>
      </c>
      <c r="F26" s="104">
        <v>347</v>
      </c>
      <c r="G26" s="91">
        <v>5</v>
      </c>
      <c r="H26" s="92">
        <v>24561</v>
      </c>
      <c r="I26" s="93">
        <v>12808</v>
      </c>
      <c r="J26" s="94">
        <f t="shared" si="3"/>
        <v>11753</v>
      </c>
      <c r="K26" s="95">
        <v>6</v>
      </c>
      <c r="L26" s="96">
        <f t="shared" si="4"/>
        <v>2553</v>
      </c>
      <c r="M26" s="97">
        <f t="shared" si="5"/>
        <v>3497.314917127072</v>
      </c>
      <c r="N26" s="97">
        <f t="shared" si="6"/>
        <v>5275.1166666666668</v>
      </c>
      <c r="O26" s="109">
        <f t="shared" si="7"/>
        <v>2667.1938202247193</v>
      </c>
      <c r="P26" s="98">
        <f t="shared" si="8"/>
        <v>13992.625404018458</v>
      </c>
      <c r="Q26" s="99">
        <v>13993</v>
      </c>
      <c r="R26" s="100">
        <f t="shared" si="1"/>
        <v>1327.6254040184576</v>
      </c>
      <c r="S26" s="112">
        <f t="shared" si="2"/>
        <v>10.482632483367214</v>
      </c>
      <c r="T26" s="102">
        <v>12665</v>
      </c>
      <c r="U26" s="103"/>
      <c r="V26" s="86"/>
      <c r="W26" s="87"/>
    </row>
    <row r="27" spans="1:23">
      <c r="A27" s="88">
        <v>1</v>
      </c>
      <c r="B27" s="89">
        <v>21</v>
      </c>
      <c r="C27" s="790" t="s">
        <v>45</v>
      </c>
      <c r="D27" s="790"/>
      <c r="E27" s="105">
        <v>0</v>
      </c>
      <c r="F27" s="104">
        <v>185</v>
      </c>
      <c r="G27" s="91">
        <v>4</v>
      </c>
      <c r="H27" s="92">
        <v>11965</v>
      </c>
      <c r="I27" s="93">
        <v>8972</v>
      </c>
      <c r="J27" s="110">
        <f t="shared" si="3"/>
        <v>2993</v>
      </c>
      <c r="K27" s="95">
        <v>4</v>
      </c>
      <c r="L27" s="96">
        <f t="shared" si="4"/>
        <v>2553</v>
      </c>
      <c r="M27" s="97">
        <f t="shared" si="5"/>
        <v>0</v>
      </c>
      <c r="N27" s="97">
        <f t="shared" si="6"/>
        <v>4220.0933333333332</v>
      </c>
      <c r="O27" s="109">
        <f t="shared" si="7"/>
        <v>1778.129213483146</v>
      </c>
      <c r="P27" s="98">
        <f t="shared" si="8"/>
        <v>8551.2225468164797</v>
      </c>
      <c r="Q27" s="99">
        <v>8551</v>
      </c>
      <c r="R27" s="100">
        <f t="shared" si="1"/>
        <v>954.22254681647973</v>
      </c>
      <c r="S27" s="112">
        <f t="shared" si="2"/>
        <v>12.560517925713832</v>
      </c>
      <c r="T27" s="102">
        <v>7597</v>
      </c>
      <c r="U27" s="103"/>
      <c r="V27" s="86"/>
      <c r="W27" s="87"/>
    </row>
    <row r="28" spans="1:23">
      <c r="A28" s="88">
        <v>1</v>
      </c>
      <c r="B28" s="89">
        <v>22</v>
      </c>
      <c r="C28" s="790" t="s">
        <v>46</v>
      </c>
      <c r="D28" s="790"/>
      <c r="E28" s="105">
        <v>0</v>
      </c>
      <c r="F28" s="104">
        <v>234</v>
      </c>
      <c r="G28" s="91">
        <v>4</v>
      </c>
      <c r="H28" s="92">
        <v>8115</v>
      </c>
      <c r="I28" s="93">
        <v>7613</v>
      </c>
      <c r="J28" s="110">
        <f t="shared" si="3"/>
        <v>502</v>
      </c>
      <c r="K28" s="111">
        <v>1</v>
      </c>
      <c r="L28" s="113">
        <f t="shared" si="4"/>
        <v>2553</v>
      </c>
      <c r="M28" s="109">
        <f t="shared" si="5"/>
        <v>0</v>
      </c>
      <c r="N28" s="109">
        <f t="shared" si="6"/>
        <v>4220.0933333333332</v>
      </c>
      <c r="O28" s="109">
        <f t="shared" si="7"/>
        <v>444.53230337078651</v>
      </c>
      <c r="P28" s="98">
        <f t="shared" si="8"/>
        <v>7217.6256367041196</v>
      </c>
      <c r="Q28" s="178">
        <v>7218</v>
      </c>
      <c r="R28" s="107">
        <f t="shared" si="1"/>
        <v>-127.37436329588036</v>
      </c>
      <c r="S28" s="112">
        <f t="shared" si="2"/>
        <v>-1.7341642382012301</v>
      </c>
      <c r="T28" s="102">
        <v>7345</v>
      </c>
      <c r="U28" s="103"/>
      <c r="V28" s="86">
        <f>+R28</f>
        <v>-127.37436329588036</v>
      </c>
      <c r="W28" s="87"/>
    </row>
    <row r="29" spans="1:23">
      <c r="A29" s="88">
        <v>1</v>
      </c>
      <c r="B29" s="89">
        <v>23</v>
      </c>
      <c r="C29" s="790" t="s">
        <v>47</v>
      </c>
      <c r="D29" s="790"/>
      <c r="E29" s="105">
        <v>0</v>
      </c>
      <c r="F29" s="104">
        <v>65</v>
      </c>
      <c r="G29" s="91">
        <v>2</v>
      </c>
      <c r="H29" s="92">
        <v>49449</v>
      </c>
      <c r="I29" s="93">
        <v>8031</v>
      </c>
      <c r="J29" s="106">
        <f t="shared" si="3"/>
        <v>41418</v>
      </c>
      <c r="K29" s="95">
        <v>8</v>
      </c>
      <c r="L29" s="96">
        <f t="shared" si="4"/>
        <v>2553</v>
      </c>
      <c r="M29" s="97">
        <f t="shared" si="5"/>
        <v>0</v>
      </c>
      <c r="N29" s="97">
        <f t="shared" si="6"/>
        <v>2110.0466666666666</v>
      </c>
      <c r="O29" s="109">
        <f t="shared" si="7"/>
        <v>3556.2584269662921</v>
      </c>
      <c r="P29" s="98">
        <f t="shared" si="8"/>
        <v>8219.3050936329601</v>
      </c>
      <c r="Q29" s="99">
        <v>8219</v>
      </c>
      <c r="R29" s="100">
        <f t="shared" si="1"/>
        <v>724.30509363296005</v>
      </c>
      <c r="S29" s="112">
        <f t="shared" si="2"/>
        <v>9.6638438109801204</v>
      </c>
      <c r="T29" s="102">
        <v>7495</v>
      </c>
      <c r="U29" s="103"/>
      <c r="V29" s="86"/>
      <c r="W29" s="87"/>
    </row>
    <row r="30" spans="1:23">
      <c r="A30" s="88">
        <v>1</v>
      </c>
      <c r="B30" s="89">
        <v>24</v>
      </c>
      <c r="C30" s="790" t="s">
        <v>48</v>
      </c>
      <c r="D30" s="790"/>
      <c r="E30" s="105">
        <v>0</v>
      </c>
      <c r="F30" s="104">
        <v>61</v>
      </c>
      <c r="G30" s="91">
        <v>2</v>
      </c>
      <c r="H30" s="92">
        <v>27133</v>
      </c>
      <c r="I30" s="93">
        <v>7584</v>
      </c>
      <c r="J30" s="110">
        <f t="shared" si="3"/>
        <v>19549</v>
      </c>
      <c r="K30" s="111">
        <v>6</v>
      </c>
      <c r="L30" s="96">
        <f t="shared" si="4"/>
        <v>2553</v>
      </c>
      <c r="M30" s="97">
        <f t="shared" si="5"/>
        <v>0</v>
      </c>
      <c r="N30" s="97">
        <f t="shared" si="6"/>
        <v>2110.0466666666666</v>
      </c>
      <c r="O30" s="109">
        <f t="shared" si="7"/>
        <v>2667.1938202247193</v>
      </c>
      <c r="P30" s="98">
        <f t="shared" si="8"/>
        <v>7330.2404868913864</v>
      </c>
      <c r="Q30" s="178">
        <v>7330</v>
      </c>
      <c r="R30" s="107">
        <f t="shared" si="1"/>
        <v>-66.759513108613646</v>
      </c>
      <c r="S30" s="112">
        <f t="shared" si="2"/>
        <v>-0.90252146963111601</v>
      </c>
      <c r="T30" s="102">
        <v>7397</v>
      </c>
      <c r="U30" s="85"/>
      <c r="V30" s="86">
        <f>+R30</f>
        <v>-66.759513108613646</v>
      </c>
      <c r="W30" s="87"/>
    </row>
    <row r="31" spans="1:23">
      <c r="A31" s="88">
        <v>1</v>
      </c>
      <c r="B31" s="89">
        <v>25</v>
      </c>
      <c r="C31" s="790" t="s">
        <v>49</v>
      </c>
      <c r="D31" s="790"/>
      <c r="E31" s="105">
        <v>0</v>
      </c>
      <c r="F31" s="104">
        <v>177</v>
      </c>
      <c r="G31" s="91">
        <v>4</v>
      </c>
      <c r="H31" s="92">
        <v>9362</v>
      </c>
      <c r="I31" s="93">
        <v>6962</v>
      </c>
      <c r="J31" s="106">
        <f t="shared" si="3"/>
        <v>2400</v>
      </c>
      <c r="K31" s="91">
        <v>3</v>
      </c>
      <c r="L31" s="96">
        <f t="shared" si="4"/>
        <v>2553</v>
      </c>
      <c r="M31" s="97">
        <f t="shared" si="5"/>
        <v>0</v>
      </c>
      <c r="N31" s="97">
        <f t="shared" si="6"/>
        <v>4220.0933333333332</v>
      </c>
      <c r="O31" s="109">
        <f t="shared" si="7"/>
        <v>1333.5969101123596</v>
      </c>
      <c r="P31" s="98">
        <f t="shared" si="8"/>
        <v>8106.6902434456933</v>
      </c>
      <c r="Q31" s="99">
        <v>8107</v>
      </c>
      <c r="R31" s="100">
        <f t="shared" si="1"/>
        <v>509.69024344569334</v>
      </c>
      <c r="S31" s="112">
        <f t="shared" si="2"/>
        <v>6.7090989001670831</v>
      </c>
      <c r="T31" s="102">
        <v>7597</v>
      </c>
      <c r="U31" s="85"/>
      <c r="V31" s="86"/>
      <c r="W31" s="87"/>
    </row>
    <row r="32" spans="1:23">
      <c r="A32" s="88">
        <v>1</v>
      </c>
      <c r="B32" s="89">
        <v>26</v>
      </c>
      <c r="C32" s="790" t="s">
        <v>50</v>
      </c>
      <c r="D32" s="790"/>
      <c r="E32" s="104">
        <v>3</v>
      </c>
      <c r="F32" s="90">
        <v>379</v>
      </c>
      <c r="G32" s="91">
        <v>5</v>
      </c>
      <c r="H32" s="92">
        <v>36126</v>
      </c>
      <c r="I32" s="93">
        <v>16629</v>
      </c>
      <c r="J32" s="110">
        <f t="shared" si="3"/>
        <v>19497</v>
      </c>
      <c r="K32" s="111">
        <v>6</v>
      </c>
      <c r="L32" s="96">
        <f t="shared" si="4"/>
        <v>2553</v>
      </c>
      <c r="M32" s="97">
        <f t="shared" si="5"/>
        <v>1311.493093922652</v>
      </c>
      <c r="N32" s="97">
        <f t="shared" si="6"/>
        <v>5275.1166666666668</v>
      </c>
      <c r="O32" s="109">
        <f t="shared" si="7"/>
        <v>2667.1938202247193</v>
      </c>
      <c r="P32" s="98">
        <f t="shared" si="8"/>
        <v>11806.803580814038</v>
      </c>
      <c r="Q32" s="99">
        <v>11807</v>
      </c>
      <c r="R32" s="100">
        <f t="shared" si="1"/>
        <v>302.80358081403756</v>
      </c>
      <c r="S32" s="112">
        <f t="shared" si="2"/>
        <v>2.6321590821804377</v>
      </c>
      <c r="T32" s="102">
        <v>11504</v>
      </c>
      <c r="U32" s="103"/>
      <c r="V32" s="86"/>
      <c r="W32" s="87"/>
    </row>
    <row r="33" spans="1:23">
      <c r="A33" s="88">
        <v>1</v>
      </c>
      <c r="B33" s="89">
        <v>27</v>
      </c>
      <c r="C33" s="790" t="s">
        <v>51</v>
      </c>
      <c r="D33" s="790"/>
      <c r="E33" s="105">
        <v>0</v>
      </c>
      <c r="F33" s="104">
        <v>137</v>
      </c>
      <c r="G33" s="91">
        <v>3</v>
      </c>
      <c r="H33" s="92">
        <v>26526</v>
      </c>
      <c r="I33" s="93">
        <v>20484</v>
      </c>
      <c r="J33" s="94">
        <f t="shared" si="3"/>
        <v>6042</v>
      </c>
      <c r="K33" s="95">
        <v>5</v>
      </c>
      <c r="L33" s="96">
        <f t="shared" si="4"/>
        <v>2553</v>
      </c>
      <c r="M33" s="97">
        <f t="shared" si="5"/>
        <v>0</v>
      </c>
      <c r="N33" s="97">
        <f t="shared" si="6"/>
        <v>3165.07</v>
      </c>
      <c r="O33" s="97">
        <f t="shared" si="7"/>
        <v>2222.6615168539324</v>
      </c>
      <c r="P33" s="98">
        <f t="shared" si="8"/>
        <v>7940.7315168539317</v>
      </c>
      <c r="Q33" s="99">
        <v>7941</v>
      </c>
      <c r="R33" s="100">
        <f t="shared" si="1"/>
        <v>1307.7315168539317</v>
      </c>
      <c r="S33" s="112">
        <f t="shared" si="2"/>
        <v>19.715536210672873</v>
      </c>
      <c r="T33" s="102">
        <v>6633</v>
      </c>
      <c r="U33" s="103"/>
      <c r="V33" s="86"/>
      <c r="W33" s="87"/>
    </row>
    <row r="34" spans="1:23">
      <c r="A34" s="88">
        <v>1</v>
      </c>
      <c r="B34" s="89">
        <v>28</v>
      </c>
      <c r="C34" s="790" t="s">
        <v>52</v>
      </c>
      <c r="D34" s="790"/>
      <c r="E34" s="105">
        <v>0</v>
      </c>
      <c r="F34" s="91">
        <v>269</v>
      </c>
      <c r="G34" s="91">
        <v>5</v>
      </c>
      <c r="H34" s="92">
        <v>53133</v>
      </c>
      <c r="I34" s="93">
        <v>18130</v>
      </c>
      <c r="J34" s="94">
        <f t="shared" si="3"/>
        <v>35003</v>
      </c>
      <c r="K34" s="91">
        <v>7</v>
      </c>
      <c r="L34" s="96">
        <f t="shared" si="4"/>
        <v>2553</v>
      </c>
      <c r="M34" s="97">
        <f t="shared" si="5"/>
        <v>0</v>
      </c>
      <c r="N34" s="97">
        <f t="shared" si="6"/>
        <v>5275.1166666666668</v>
      </c>
      <c r="O34" s="97">
        <f t="shared" si="7"/>
        <v>3111.7261235955057</v>
      </c>
      <c r="P34" s="98">
        <f t="shared" si="8"/>
        <v>10939.842790262173</v>
      </c>
      <c r="Q34" s="99">
        <v>10940</v>
      </c>
      <c r="R34" s="100">
        <f t="shared" si="1"/>
        <v>650.84279026217337</v>
      </c>
      <c r="S34" s="112">
        <f t="shared" si="2"/>
        <v>6.3256175552743059</v>
      </c>
      <c r="T34" s="102">
        <v>10289</v>
      </c>
      <c r="U34" s="103"/>
      <c r="V34" s="86"/>
      <c r="W34" s="87"/>
    </row>
    <row r="35" spans="1:23">
      <c r="A35" s="88">
        <v>1</v>
      </c>
      <c r="B35" s="89">
        <v>29</v>
      </c>
      <c r="C35" s="790" t="s">
        <v>53</v>
      </c>
      <c r="D35" s="790"/>
      <c r="E35" s="105">
        <v>0</v>
      </c>
      <c r="F35" s="115">
        <v>35</v>
      </c>
      <c r="G35" s="91">
        <v>1</v>
      </c>
      <c r="H35" s="116">
        <v>4444</v>
      </c>
      <c r="I35" s="93">
        <v>4094</v>
      </c>
      <c r="J35" s="106">
        <f t="shared" si="3"/>
        <v>350</v>
      </c>
      <c r="K35" s="91">
        <v>1</v>
      </c>
      <c r="L35" s="96">
        <f t="shared" si="4"/>
        <v>2553</v>
      </c>
      <c r="M35" s="97">
        <f t="shared" si="5"/>
        <v>0</v>
      </c>
      <c r="N35" s="97">
        <f t="shared" si="6"/>
        <v>1055.0233333333333</v>
      </c>
      <c r="O35" s="97">
        <f t="shared" si="7"/>
        <v>444.53230337078651</v>
      </c>
      <c r="P35" s="98">
        <f t="shared" si="8"/>
        <v>4052.5556367041199</v>
      </c>
      <c r="Q35" s="99">
        <v>4053</v>
      </c>
      <c r="R35" s="100">
        <f t="shared" si="1"/>
        <v>302.55563670411993</v>
      </c>
      <c r="S35" s="112">
        <f t="shared" si="2"/>
        <v>8.0681503121098643</v>
      </c>
      <c r="T35" s="102">
        <v>3750</v>
      </c>
      <c r="U35" s="103"/>
      <c r="V35" s="86"/>
      <c r="W35" s="87"/>
    </row>
    <row r="36" spans="1:23">
      <c r="A36" s="88">
        <v>1</v>
      </c>
      <c r="B36" s="89">
        <v>30</v>
      </c>
      <c r="C36" s="790" t="s">
        <v>134</v>
      </c>
      <c r="D36" s="790"/>
      <c r="E36" s="105">
        <v>0</v>
      </c>
      <c r="F36" s="115">
        <v>30</v>
      </c>
      <c r="G36" s="91">
        <v>1</v>
      </c>
      <c r="H36" s="116">
        <v>4767</v>
      </c>
      <c r="I36" s="93">
        <v>0</v>
      </c>
      <c r="J36" s="106">
        <f t="shared" si="3"/>
        <v>4767</v>
      </c>
      <c r="K36" s="91">
        <v>4</v>
      </c>
      <c r="L36" s="96">
        <f t="shared" si="4"/>
        <v>2553</v>
      </c>
      <c r="M36" s="97">
        <f t="shared" si="5"/>
        <v>0</v>
      </c>
      <c r="N36" s="97">
        <f t="shared" si="6"/>
        <v>1055.0233333333333</v>
      </c>
      <c r="O36" s="97">
        <f t="shared" si="7"/>
        <v>1778.129213483146</v>
      </c>
      <c r="P36" s="98">
        <f t="shared" si="8"/>
        <v>5386.15254681648</v>
      </c>
      <c r="Q36" s="99">
        <v>5386</v>
      </c>
      <c r="R36" s="100">
        <f t="shared" si="1"/>
        <v>1636.15254681648</v>
      </c>
      <c r="S36" s="112">
        <f t="shared" si="2"/>
        <v>43.630734581772799</v>
      </c>
      <c r="T36" s="117">
        <v>3750</v>
      </c>
      <c r="U36" s="103"/>
      <c r="V36" s="86"/>
    </row>
    <row r="37" spans="1:23" ht="12" thickBot="1">
      <c r="A37" s="118">
        <v>1</v>
      </c>
      <c r="B37" s="119">
        <v>31</v>
      </c>
      <c r="C37" s="798" t="s">
        <v>135</v>
      </c>
      <c r="D37" s="798"/>
      <c r="E37" s="120">
        <v>4</v>
      </c>
      <c r="F37" s="121">
        <v>93</v>
      </c>
      <c r="G37" s="122">
        <v>3</v>
      </c>
      <c r="H37" s="123">
        <v>370</v>
      </c>
      <c r="I37" s="124">
        <v>0</v>
      </c>
      <c r="J37" s="125">
        <f t="shared" si="3"/>
        <v>370</v>
      </c>
      <c r="K37" s="122">
        <v>1</v>
      </c>
      <c r="L37" s="126">
        <f t="shared" si="4"/>
        <v>2553</v>
      </c>
      <c r="M37" s="127">
        <f t="shared" si="5"/>
        <v>1748.657458563536</v>
      </c>
      <c r="N37" s="127">
        <f t="shared" si="6"/>
        <v>3165.07</v>
      </c>
      <c r="O37" s="127">
        <f t="shared" si="7"/>
        <v>444.53230337078651</v>
      </c>
      <c r="P37" s="128">
        <f t="shared" si="8"/>
        <v>7911.2597619343233</v>
      </c>
      <c r="Q37" s="129">
        <v>7911</v>
      </c>
      <c r="R37" s="130">
        <f t="shared" si="1"/>
        <v>4161.2597619343233</v>
      </c>
      <c r="S37" s="131">
        <f t="shared" si="2"/>
        <v>110.96692698491528</v>
      </c>
      <c r="T37" s="132">
        <v>3750</v>
      </c>
      <c r="U37" s="103"/>
      <c r="V37" s="86"/>
    </row>
    <row r="38" spans="1:23" s="379" customFormat="1" ht="11" thickBot="1">
      <c r="A38" s="415"/>
      <c r="B38" s="416"/>
      <c r="C38" s="417"/>
      <c r="E38" s="418"/>
      <c r="F38" s="419"/>
      <c r="G38" s="418"/>
      <c r="H38" s="383"/>
      <c r="I38" s="383"/>
      <c r="J38" s="383"/>
      <c r="K38" s="418"/>
      <c r="L38" s="418"/>
      <c r="M38" s="418"/>
      <c r="N38" s="418"/>
      <c r="O38" s="799" t="s">
        <v>54</v>
      </c>
      <c r="P38" s="799"/>
      <c r="Q38" s="799"/>
      <c r="R38" s="420">
        <f>SUM(V6:V39)</f>
        <v>-3038.1726578310281</v>
      </c>
      <c r="U38" s="414"/>
      <c r="V38" s="401"/>
    </row>
    <row r="39" spans="1:23" s="379" customFormat="1" ht="11" thickBot="1">
      <c r="A39" s="415"/>
      <c r="B39" s="416"/>
      <c r="C39" s="417"/>
      <c r="E39" s="418"/>
      <c r="F39" s="419"/>
      <c r="G39" s="418"/>
      <c r="H39" s="383"/>
      <c r="I39" s="383"/>
      <c r="J39" s="383"/>
      <c r="K39" s="418"/>
      <c r="L39" s="418"/>
      <c r="M39" s="418"/>
      <c r="N39" s="418"/>
      <c r="O39" s="800" t="s">
        <v>55</v>
      </c>
      <c r="P39" s="801"/>
      <c r="Q39" s="801"/>
      <c r="R39" s="802"/>
      <c r="S39" s="421">
        <f>SUM(U7:U37)</f>
        <v>-717.35642322097374</v>
      </c>
      <c r="T39" s="413"/>
      <c r="U39" s="414"/>
      <c r="V39" s="401"/>
    </row>
    <row r="40" spans="1:23" s="379" customFormat="1" ht="5.5" customHeight="1">
      <c r="A40" s="376"/>
      <c r="F40" s="397"/>
      <c r="H40" s="383"/>
      <c r="I40" s="383"/>
      <c r="J40" s="383"/>
      <c r="P40" s="383"/>
      <c r="Q40" s="383"/>
      <c r="R40" s="407"/>
      <c r="S40" s="412"/>
      <c r="T40" s="413"/>
      <c r="U40" s="414"/>
      <c r="V40" s="401"/>
    </row>
    <row r="41" spans="1:23">
      <c r="B41" s="142" t="s">
        <v>56</v>
      </c>
      <c r="C41" s="803" t="s">
        <v>57</v>
      </c>
      <c r="D41" s="803"/>
      <c r="E41" s="804">
        <v>1000000</v>
      </c>
      <c r="F41" s="804"/>
      <c r="G41" s="141" t="s">
        <v>58</v>
      </c>
      <c r="I41" s="445" t="s">
        <v>59</v>
      </c>
      <c r="J41" s="446"/>
      <c r="K41" s="447" t="s">
        <v>60</v>
      </c>
      <c r="L41" s="447"/>
      <c r="M41" s="448"/>
      <c r="N41" s="448"/>
      <c r="O41" s="156"/>
      <c r="P41" s="449" t="s">
        <v>58</v>
      </c>
      <c r="Q41" s="146"/>
      <c r="R41" s="147"/>
      <c r="S41" s="145"/>
      <c r="T41" s="23"/>
      <c r="U41" s="22"/>
    </row>
    <row r="42" spans="1:23" ht="4.9000000000000004" customHeight="1">
      <c r="A42" s="784"/>
      <c r="B42" s="784"/>
      <c r="C42" s="784"/>
      <c r="D42" s="784"/>
      <c r="E42" s="779"/>
      <c r="F42" s="779"/>
      <c r="I42" s="450"/>
      <c r="P42" s="451"/>
    </row>
    <row r="43" spans="1:23">
      <c r="A43" s="805">
        <f>+E43/$E$41*100</f>
        <v>3.5000000000000004</v>
      </c>
      <c r="B43" s="805"/>
      <c r="C43" s="806" t="s">
        <v>61</v>
      </c>
      <c r="D43" s="806"/>
      <c r="E43" s="807">
        <v>35000</v>
      </c>
      <c r="F43" s="807"/>
      <c r="I43" s="452">
        <v>0.2</v>
      </c>
      <c r="J43" s="149">
        <v>2553</v>
      </c>
      <c r="K43" s="26" t="s">
        <v>62</v>
      </c>
      <c r="L43" s="26"/>
      <c r="M43" s="26"/>
      <c r="N43" s="150"/>
      <c r="P43" s="451">
        <f>+J43*A6</f>
        <v>79143</v>
      </c>
      <c r="R43" s="151">
        <f>+S43/A6</f>
        <v>2552.5806451612902</v>
      </c>
      <c r="S43" s="808">
        <f>+E47*0.2</f>
        <v>79130</v>
      </c>
      <c r="T43" s="808"/>
      <c r="U43" s="86"/>
    </row>
    <row r="44" spans="1:23">
      <c r="B44" s="809" t="s">
        <v>63</v>
      </c>
      <c r="C44" s="809"/>
      <c r="D44" s="809"/>
      <c r="E44" s="807">
        <f>+E41-E43</f>
        <v>965000</v>
      </c>
      <c r="F44" s="807"/>
      <c r="I44" s="452">
        <v>0.2</v>
      </c>
      <c r="J44" s="152">
        <v>0.25</v>
      </c>
      <c r="K44" s="26" t="s">
        <v>64</v>
      </c>
      <c r="L44" s="26"/>
      <c r="M44" s="26"/>
      <c r="N44" s="150"/>
      <c r="P44" s="451">
        <f>+($E$47-$P$43)*J44</f>
        <v>79126.75</v>
      </c>
      <c r="R44" s="140"/>
      <c r="S44" s="15"/>
      <c r="T44" s="23"/>
      <c r="U44" s="22"/>
    </row>
    <row r="45" spans="1:23">
      <c r="A45" s="805">
        <v>3</v>
      </c>
      <c r="B45" s="805"/>
      <c r="C45" s="809" t="s">
        <v>65</v>
      </c>
      <c r="D45" s="809"/>
      <c r="E45" s="807">
        <f>+A45*E44/100</f>
        <v>28950</v>
      </c>
      <c r="F45" s="807"/>
      <c r="I45" s="452">
        <v>0.4</v>
      </c>
      <c r="J45" s="152">
        <v>0.5</v>
      </c>
      <c r="K45" s="26" t="s">
        <v>66</v>
      </c>
      <c r="L45" s="26"/>
      <c r="M45" s="26"/>
      <c r="N45" s="150"/>
      <c r="P45" s="451">
        <f>+($E$47-$P$43)*J45</f>
        <v>158253.5</v>
      </c>
      <c r="R45" s="140"/>
      <c r="S45" s="15"/>
      <c r="T45" s="23"/>
      <c r="U45" s="22"/>
    </row>
    <row r="46" spans="1:23">
      <c r="A46" s="805">
        <v>15</v>
      </c>
      <c r="B46" s="805"/>
      <c r="C46" s="784" t="s">
        <v>67</v>
      </c>
      <c r="D46" s="784"/>
      <c r="E46" s="807">
        <f>+A46*E44/100</f>
        <v>144750</v>
      </c>
      <c r="F46" s="807"/>
      <c r="I46" s="453">
        <v>0.2</v>
      </c>
      <c r="J46" s="454">
        <v>0.25</v>
      </c>
      <c r="K46" s="153" t="s">
        <v>68</v>
      </c>
      <c r="L46" s="153"/>
      <c r="M46" s="153"/>
      <c r="N46" s="154"/>
      <c r="O46" s="153"/>
      <c r="P46" s="455">
        <f>+($E$47-$P$43)*J46</f>
        <v>79126.75</v>
      </c>
      <c r="R46" s="140"/>
      <c r="S46" s="15"/>
      <c r="T46" s="23"/>
      <c r="U46" s="22"/>
    </row>
    <row r="47" spans="1:23" ht="12" thickBot="1">
      <c r="A47" s="810">
        <f>(100-A$45-A$46)/2</f>
        <v>41</v>
      </c>
      <c r="B47" s="810"/>
      <c r="C47" s="784" t="s">
        <v>69</v>
      </c>
      <c r="D47" s="784"/>
      <c r="E47" s="807">
        <f>+A47*$E$44/100</f>
        <v>395650</v>
      </c>
      <c r="F47" s="807"/>
      <c r="H47" s="23"/>
      <c r="L47" s="443" t="s">
        <v>70</v>
      </c>
      <c r="P47" s="444">
        <f>SUM(P43:P46)</f>
        <v>395650</v>
      </c>
      <c r="Q47" s="444"/>
      <c r="R47" s="456"/>
      <c r="S47" s="23"/>
      <c r="T47" s="23"/>
      <c r="U47" s="22"/>
    </row>
    <row r="48" spans="1:23" ht="12" thickBot="1">
      <c r="A48" s="810">
        <f>(100-A$45-A$46)/2</f>
        <v>41</v>
      </c>
      <c r="B48" s="810"/>
      <c r="C48" s="784" t="s">
        <v>71</v>
      </c>
      <c r="D48" s="784"/>
      <c r="E48" s="807">
        <f>+A48*$E$44/100</f>
        <v>395650</v>
      </c>
      <c r="F48" s="807"/>
      <c r="H48" s="159">
        <f>+E45+S39+'Kojad_1 000 000 €'!V23</f>
        <v>28086.598945182282</v>
      </c>
      <c r="I48" s="812" t="s">
        <v>72</v>
      </c>
      <c r="J48" s="812"/>
      <c r="K48" s="812"/>
      <c r="L48" s="812"/>
      <c r="M48" s="812"/>
      <c r="R48" s="140"/>
      <c r="S48" s="23"/>
      <c r="T48" s="23"/>
      <c r="U48" s="22"/>
    </row>
    <row r="49" spans="1:21">
      <c r="A49" s="813">
        <f>SUM(A43:B48)</f>
        <v>103.5</v>
      </c>
      <c r="B49" s="813"/>
      <c r="D49" s="160" t="s">
        <v>70</v>
      </c>
      <c r="E49" s="814">
        <f>SUM(E45:E48)+E43+E42</f>
        <v>1000000</v>
      </c>
      <c r="F49" s="814"/>
      <c r="G49" s="161"/>
      <c r="H49" s="162">
        <f>+E49-E46-Q6-'Kojad_1 000 000 €'!T5-E43-H48</f>
        <v>0.40105481771752238</v>
      </c>
      <c r="I49" s="160" t="s">
        <v>73</v>
      </c>
      <c r="J49" s="10"/>
      <c r="K49" s="10"/>
      <c r="L49" s="10"/>
      <c r="M49" s="10"/>
      <c r="N49" s="10"/>
      <c r="O49" s="10"/>
      <c r="P49" s="10"/>
      <c r="Q49" s="10"/>
      <c r="R49" s="163"/>
      <c r="S49" s="10"/>
      <c r="T49" s="10"/>
      <c r="U49" s="86"/>
    </row>
    <row r="50" spans="1:21">
      <c r="C50" s="149" t="s">
        <v>74</v>
      </c>
      <c r="D50" s="87"/>
      <c r="E50" s="87"/>
      <c r="F50" s="164"/>
      <c r="G50" s="87"/>
      <c r="H50" s="23"/>
      <c r="I50" s="23"/>
      <c r="J50" s="23"/>
      <c r="K50" s="87"/>
      <c r="M50" s="87"/>
      <c r="N50" s="87"/>
      <c r="R50" s="140"/>
      <c r="S50" s="23"/>
      <c r="T50" s="23"/>
      <c r="U50" s="22"/>
    </row>
    <row r="51" spans="1:21" s="379" customFormat="1" ht="13.15" customHeight="1" thickBot="1">
      <c r="A51" s="826" t="s">
        <v>137</v>
      </c>
      <c r="B51" s="826"/>
      <c r="C51" s="383" t="s">
        <v>75</v>
      </c>
      <c r="D51" s="383"/>
      <c r="E51" s="827" t="s">
        <v>76</v>
      </c>
      <c r="F51" s="827"/>
      <c r="G51" s="827"/>
      <c r="H51" s="828"/>
      <c r="J51" s="423" t="s">
        <v>77</v>
      </c>
      <c r="K51" s="424" t="s">
        <v>78</v>
      </c>
      <c r="M51" s="383"/>
      <c r="O51" s="383"/>
      <c r="P51" s="425" t="s">
        <v>79</v>
      </c>
      <c r="Q51" s="426"/>
      <c r="R51" s="427"/>
      <c r="S51" s="428"/>
      <c r="U51" s="429"/>
    </row>
    <row r="52" spans="1:21" s="379" customFormat="1" ht="10.5">
      <c r="A52" s="376"/>
      <c r="B52" s="377">
        <v>30</v>
      </c>
      <c r="C52" s="378">
        <f>LOG10(B52)</f>
        <v>1.4771212547196624</v>
      </c>
      <c r="E52" s="460" t="s">
        <v>146</v>
      </c>
      <c r="F52" s="380"/>
      <c r="G52" s="381" t="s">
        <v>80</v>
      </c>
      <c r="H52" s="381" t="s">
        <v>81</v>
      </c>
      <c r="J52" s="382">
        <v>350</v>
      </c>
      <c r="K52" s="378">
        <f t="shared" ref="K52:K82" si="9">LOG10(J52)</f>
        <v>2.5440680443502757</v>
      </c>
      <c r="O52" s="383"/>
      <c r="P52" s="381"/>
      <c r="Q52" s="381"/>
      <c r="R52" s="384" t="s">
        <v>80</v>
      </c>
      <c r="S52" s="381" t="s">
        <v>81</v>
      </c>
      <c r="U52" s="385"/>
    </row>
    <row r="53" spans="1:21" s="379" customFormat="1" ht="10.5">
      <c r="A53" s="376"/>
      <c r="B53" s="386">
        <v>35</v>
      </c>
      <c r="C53" s="378">
        <f t="shared" ref="C53:C76" si="10">LOG10(B53)</f>
        <v>1.5440680443502757</v>
      </c>
      <c r="E53" s="378">
        <f>+C52</f>
        <v>1.4771212547196624</v>
      </c>
      <c r="F53" s="387"/>
      <c r="G53" s="388">
        <f t="shared" ref="G53:G59" si="11">POWER(10,E53)</f>
        <v>30.000000000000004</v>
      </c>
      <c r="H53" s="383">
        <v>1</v>
      </c>
      <c r="J53" s="389">
        <v>370</v>
      </c>
      <c r="K53" s="378">
        <f t="shared" si="9"/>
        <v>2.568201724066995</v>
      </c>
      <c r="O53" s="378">
        <f>+K52</f>
        <v>2.5440680443502757</v>
      </c>
      <c r="P53" s="390"/>
      <c r="Q53" s="390"/>
      <c r="R53" s="391">
        <f t="shared" ref="R53:R62" si="12">POWER(10,O53)</f>
        <v>350.00000000000017</v>
      </c>
      <c r="S53" s="383">
        <v>1</v>
      </c>
      <c r="U53" s="392"/>
    </row>
    <row r="54" spans="1:21" s="379" customFormat="1" ht="10.5">
      <c r="B54" s="393">
        <v>61</v>
      </c>
      <c r="C54" s="378">
        <f t="shared" si="10"/>
        <v>1.7853298350107671</v>
      </c>
      <c r="E54" s="378">
        <f t="shared" ref="E54:E63" si="13">+E53+$E$82</f>
        <v>1.7072387283565795</v>
      </c>
      <c r="F54" s="394"/>
      <c r="G54" s="388">
        <f t="shared" si="11"/>
        <v>50.961092330748883</v>
      </c>
      <c r="H54" s="383">
        <v>2</v>
      </c>
      <c r="J54" s="393">
        <v>502</v>
      </c>
      <c r="K54" s="378">
        <f t="shared" si="9"/>
        <v>2.7007037171450192</v>
      </c>
      <c r="O54" s="378">
        <f t="shared" ref="O54:O63" si="14">+O53+$L$82</f>
        <v>2.8401349601614987</v>
      </c>
      <c r="P54" s="383"/>
      <c r="Q54" s="383"/>
      <c r="R54" s="391">
        <f t="shared" si="12"/>
        <v>692.04599582162973</v>
      </c>
      <c r="S54" s="383">
        <v>2</v>
      </c>
      <c r="U54" s="392"/>
    </row>
    <row r="55" spans="1:21" s="379" customFormat="1" ht="10.5">
      <c r="B55" s="393">
        <v>65</v>
      </c>
      <c r="C55" s="378">
        <f t="shared" si="10"/>
        <v>1.8129133566428555</v>
      </c>
      <c r="E55" s="378">
        <f t="shared" si="13"/>
        <v>1.9373562019934967</v>
      </c>
      <c r="F55" s="394"/>
      <c r="G55" s="388">
        <f t="shared" si="11"/>
        <v>86.567764384770385</v>
      </c>
      <c r="H55" s="383">
        <v>3</v>
      </c>
      <c r="J55" s="393">
        <v>930</v>
      </c>
      <c r="K55" s="378">
        <f t="shared" si="9"/>
        <v>2.9684829485539352</v>
      </c>
      <c r="O55" s="378">
        <f t="shared" si="14"/>
        <v>3.1362018759727217</v>
      </c>
      <c r="P55" s="383"/>
      <c r="Q55" s="383"/>
      <c r="R55" s="391">
        <f t="shared" si="12"/>
        <v>1368.3647438078597</v>
      </c>
      <c r="S55" s="383">
        <v>3</v>
      </c>
      <c r="U55" s="392"/>
    </row>
    <row r="56" spans="1:21" s="379" customFormat="1" ht="10.5">
      <c r="B56" s="393">
        <v>75</v>
      </c>
      <c r="C56" s="378">
        <f t="shared" si="10"/>
        <v>1.8750612633917001</v>
      </c>
      <c r="E56" s="378">
        <f t="shared" si="13"/>
        <v>2.167473675630414</v>
      </c>
      <c r="F56" s="387"/>
      <c r="G56" s="388">
        <f t="shared" si="11"/>
        <v>147.05292778929334</v>
      </c>
      <c r="H56" s="383">
        <v>4</v>
      </c>
      <c r="J56" s="393">
        <v>1388</v>
      </c>
      <c r="K56" s="378">
        <f t="shared" si="9"/>
        <v>3.1423894661188361</v>
      </c>
      <c r="O56" s="378">
        <f t="shared" si="14"/>
        <v>3.4322687917839447</v>
      </c>
      <c r="P56" s="383"/>
      <c r="Q56" s="383"/>
      <c r="R56" s="391">
        <f t="shared" si="12"/>
        <v>2705.6324050734829</v>
      </c>
      <c r="S56" s="383">
        <v>4</v>
      </c>
      <c r="U56" s="392"/>
    </row>
    <row r="57" spans="1:21" s="379" customFormat="1" ht="10.5">
      <c r="B57" s="393">
        <v>82</v>
      </c>
      <c r="C57" s="378">
        <f t="shared" si="10"/>
        <v>1.9138138523837167</v>
      </c>
      <c r="E57" s="378">
        <f t="shared" si="13"/>
        <v>2.3975911492673312</v>
      </c>
      <c r="F57" s="395"/>
      <c r="G57" s="388">
        <f t="shared" si="11"/>
        <v>249.79926101923741</v>
      </c>
      <c r="H57" s="383">
        <v>5</v>
      </c>
      <c r="J57" s="393">
        <v>1526</v>
      </c>
      <c r="K57" s="378">
        <f t="shared" si="9"/>
        <v>3.1835545336188615</v>
      </c>
      <c r="O57" s="378">
        <f t="shared" si="14"/>
        <v>3.7283357075951677</v>
      </c>
      <c r="P57" s="390"/>
      <c r="Q57" s="390"/>
      <c r="R57" s="391">
        <f t="shared" si="12"/>
        <v>5349.7773488467101</v>
      </c>
      <c r="S57" s="383">
        <v>5</v>
      </c>
      <c r="U57" s="392"/>
    </row>
    <row r="58" spans="1:21" s="379" customFormat="1" ht="10.5">
      <c r="B58" s="386">
        <v>93</v>
      </c>
      <c r="C58" s="378">
        <f t="shared" si="10"/>
        <v>1.968482948553935</v>
      </c>
      <c r="E58" s="378">
        <f t="shared" si="13"/>
        <v>2.6277086229042483</v>
      </c>
      <c r="F58" s="394"/>
      <c r="G58" s="388">
        <f t="shared" si="11"/>
        <v>424.334773498473</v>
      </c>
      <c r="H58" s="383">
        <v>6</v>
      </c>
      <c r="J58" s="393">
        <v>2400</v>
      </c>
      <c r="K58" s="378">
        <f t="shared" si="9"/>
        <v>3.3802112417116059</v>
      </c>
      <c r="O58" s="378">
        <f t="shared" si="14"/>
        <v>4.0244026234063908</v>
      </c>
      <c r="P58" s="383"/>
      <c r="Q58" s="383"/>
      <c r="R58" s="391">
        <f t="shared" si="12"/>
        <v>10577.977122304632</v>
      </c>
      <c r="S58" s="383">
        <v>6</v>
      </c>
      <c r="U58" s="392"/>
    </row>
    <row r="59" spans="1:21" s="379" customFormat="1" ht="10.5">
      <c r="B59" s="393">
        <v>137</v>
      </c>
      <c r="C59" s="378">
        <f t="shared" si="10"/>
        <v>2.1367205671564067</v>
      </c>
      <c r="E59" s="378">
        <f t="shared" si="13"/>
        <v>2.8578260965411655</v>
      </c>
      <c r="F59" s="394"/>
      <c r="G59" s="388">
        <f t="shared" si="11"/>
        <v>720.81878571343623</v>
      </c>
      <c r="H59" s="383">
        <v>7</v>
      </c>
      <c r="J59" s="393">
        <v>2858</v>
      </c>
      <c r="K59" s="378">
        <f t="shared" si="9"/>
        <v>3.4560622244549513</v>
      </c>
      <c r="O59" s="378">
        <f t="shared" si="14"/>
        <v>4.3204695392176138</v>
      </c>
      <c r="P59" s="383"/>
      <c r="Q59" s="383"/>
      <c r="R59" s="391">
        <f t="shared" si="12"/>
        <v>20915.5620325249</v>
      </c>
      <c r="S59" s="383">
        <v>7</v>
      </c>
      <c r="U59" s="392"/>
    </row>
    <row r="60" spans="1:21" s="379" customFormat="1" ht="10.5">
      <c r="B60" s="393">
        <v>142</v>
      </c>
      <c r="C60" s="378">
        <f t="shared" si="10"/>
        <v>2.1522883443830563</v>
      </c>
      <c r="E60" s="378">
        <f t="shared" si="13"/>
        <v>3.0879435701780826</v>
      </c>
      <c r="F60" s="811">
        <f>POWER(10,E60)</f>
        <v>1224.4570897493566</v>
      </c>
      <c r="G60" s="811"/>
      <c r="H60" s="383">
        <v>8</v>
      </c>
      <c r="J60" s="393">
        <v>2993</v>
      </c>
      <c r="K60" s="378">
        <f t="shared" si="9"/>
        <v>3.4761067168401913</v>
      </c>
      <c r="O60" s="378">
        <f t="shared" si="14"/>
        <v>4.6165364550288368</v>
      </c>
      <c r="P60" s="383"/>
      <c r="Q60" s="383"/>
      <c r="R60" s="391">
        <f t="shared" si="12"/>
        <v>41355.802728479342</v>
      </c>
      <c r="S60" s="383">
        <v>8</v>
      </c>
      <c r="U60" s="392"/>
    </row>
    <row r="61" spans="1:21" s="379" customFormat="1" ht="10.5">
      <c r="B61" s="393">
        <v>153</v>
      </c>
      <c r="C61" s="378">
        <f t="shared" si="10"/>
        <v>2.1846914308175989</v>
      </c>
      <c r="E61" s="378">
        <f t="shared" si="13"/>
        <v>3.3180610438149998</v>
      </c>
      <c r="F61" s="811">
        <f>POWER(10,E61)</f>
        <v>2079.9890268585668</v>
      </c>
      <c r="G61" s="811"/>
      <c r="H61" s="383">
        <v>9</v>
      </c>
      <c r="J61" s="393">
        <v>4767</v>
      </c>
      <c r="K61" s="378">
        <f t="shared" si="9"/>
        <v>3.678245151927042</v>
      </c>
      <c r="O61" s="378">
        <f t="shared" si="14"/>
        <v>4.9126033708400598</v>
      </c>
      <c r="P61" s="383"/>
      <c r="Q61" s="383"/>
      <c r="R61" s="391">
        <f t="shared" si="12"/>
        <v>81771.764806380917</v>
      </c>
      <c r="S61" s="383">
        <v>9</v>
      </c>
      <c r="U61" s="392"/>
    </row>
    <row r="62" spans="1:21" s="379" customFormat="1" ht="10.5">
      <c r="B62" s="393">
        <v>177</v>
      </c>
      <c r="C62" s="378">
        <f t="shared" si="10"/>
        <v>2.2479732663618068</v>
      </c>
      <c r="E62" s="378">
        <f t="shared" si="13"/>
        <v>3.5481785174519169</v>
      </c>
      <c r="F62" s="811">
        <f>POWER(10,E62)</f>
        <v>3533.2837614894661</v>
      </c>
      <c r="G62" s="811"/>
      <c r="H62" s="383">
        <v>10</v>
      </c>
      <c r="J62" s="393">
        <v>6042</v>
      </c>
      <c r="K62" s="378">
        <f t="shared" si="9"/>
        <v>3.7811807209372614</v>
      </c>
      <c r="O62" s="378">
        <f t="shared" si="14"/>
        <v>5.2086702866512828</v>
      </c>
      <c r="P62" s="383"/>
      <c r="Q62" s="383"/>
      <c r="R62" s="391">
        <f t="shared" si="12"/>
        <v>161685.20687292569</v>
      </c>
      <c r="S62" s="383">
        <v>10</v>
      </c>
      <c r="U62" s="392"/>
    </row>
    <row r="63" spans="1:21" s="379" customFormat="1" ht="10.5">
      <c r="B63" s="393">
        <v>185</v>
      </c>
      <c r="C63" s="378">
        <f t="shared" si="10"/>
        <v>2.2671717284030137</v>
      </c>
      <c r="E63" s="378">
        <f t="shared" si="13"/>
        <v>3.7782959910888341</v>
      </c>
      <c r="F63" s="811">
        <f>POWER(10,E63)</f>
        <v>6002.00000000001</v>
      </c>
      <c r="G63" s="811"/>
      <c r="H63" s="383">
        <v>10</v>
      </c>
      <c r="J63" s="393">
        <v>10663</v>
      </c>
      <c r="K63" s="378">
        <f t="shared" si="9"/>
        <v>4.0278794092072072</v>
      </c>
      <c r="M63" s="378"/>
      <c r="O63" s="378">
        <f t="shared" si="14"/>
        <v>5.5047372024625059</v>
      </c>
      <c r="R63" s="396">
        <f>POWER(10,O63)</f>
        <v>319695.99999999977</v>
      </c>
      <c r="S63" s="383">
        <v>10</v>
      </c>
      <c r="U63" s="392"/>
    </row>
    <row r="64" spans="1:21" s="379" customFormat="1" ht="10.5">
      <c r="B64" s="393">
        <v>234</v>
      </c>
      <c r="C64" s="378">
        <f t="shared" si="10"/>
        <v>2.369215857410143</v>
      </c>
      <c r="D64" s="378"/>
      <c r="F64" s="397"/>
      <c r="G64" s="383"/>
      <c r="H64" s="383"/>
      <c r="I64" s="383"/>
      <c r="J64" s="393">
        <v>11753</v>
      </c>
      <c r="K64" s="378">
        <f t="shared" si="9"/>
        <v>4.0701487361523059</v>
      </c>
      <c r="M64" s="378"/>
      <c r="O64" s="383"/>
      <c r="P64" s="383"/>
      <c r="Q64" s="383"/>
      <c r="R64" s="398"/>
      <c r="S64" s="399"/>
      <c r="U64" s="400"/>
    </row>
    <row r="65" spans="1:22" s="379" customFormat="1" ht="10.5">
      <c r="B65" s="393">
        <v>269</v>
      </c>
      <c r="C65" s="378">
        <f t="shared" si="10"/>
        <v>2.4297522800024081</v>
      </c>
      <c r="D65" s="378"/>
      <c r="F65" s="397"/>
      <c r="G65" s="383"/>
      <c r="H65" s="383"/>
      <c r="I65" s="383"/>
      <c r="J65" s="393">
        <v>15228</v>
      </c>
      <c r="K65" s="378">
        <f t="shared" si="9"/>
        <v>4.18264286814233</v>
      </c>
      <c r="M65" s="378"/>
      <c r="O65" s="383"/>
      <c r="P65" s="383"/>
      <c r="Q65" s="383"/>
      <c r="R65" s="398"/>
      <c r="S65" s="399"/>
      <c r="U65" s="400"/>
    </row>
    <row r="66" spans="1:22" s="379" customFormat="1" ht="10.5">
      <c r="B66" s="393">
        <v>305</v>
      </c>
      <c r="C66" s="378">
        <f t="shared" si="10"/>
        <v>2.4842998393467859</v>
      </c>
      <c r="D66" s="378"/>
      <c r="F66" s="397"/>
      <c r="G66" s="383"/>
      <c r="H66" s="383"/>
      <c r="I66" s="383"/>
      <c r="J66" s="393">
        <v>15862</v>
      </c>
      <c r="K66" s="378">
        <f t="shared" si="9"/>
        <v>4.2003579455416356</v>
      </c>
      <c r="M66" s="378"/>
      <c r="O66" s="383"/>
      <c r="P66" s="383"/>
      <c r="Q66" s="383"/>
      <c r="R66" s="398"/>
      <c r="S66" s="399"/>
      <c r="U66" s="400"/>
    </row>
    <row r="67" spans="1:22" s="379" customFormat="1" ht="10.5">
      <c r="B67" s="393">
        <v>320</v>
      </c>
      <c r="C67" s="378">
        <f t="shared" si="10"/>
        <v>2.5051499783199058</v>
      </c>
      <c r="D67" s="378"/>
      <c r="F67" s="397"/>
      <c r="G67" s="383"/>
      <c r="H67" s="383"/>
      <c r="I67" s="383"/>
      <c r="J67" s="393">
        <v>18737</v>
      </c>
      <c r="K67" s="378">
        <f t="shared" si="9"/>
        <v>4.2727000567895859</v>
      </c>
      <c r="M67" s="378"/>
      <c r="O67" s="383"/>
      <c r="P67" s="383"/>
      <c r="Q67" s="383"/>
      <c r="R67" s="398"/>
      <c r="S67" s="399"/>
      <c r="U67" s="400"/>
      <c r="V67" s="401"/>
    </row>
    <row r="68" spans="1:22" s="379" customFormat="1" ht="10.5">
      <c r="B68" s="393">
        <v>338</v>
      </c>
      <c r="C68" s="378">
        <f t="shared" si="10"/>
        <v>2.5289167002776547</v>
      </c>
      <c r="D68" s="378"/>
      <c r="F68" s="397"/>
      <c r="G68" s="383"/>
      <c r="H68" s="383"/>
      <c r="I68" s="383"/>
      <c r="J68" s="393">
        <v>19497</v>
      </c>
      <c r="K68" s="378">
        <f t="shared" si="9"/>
        <v>4.2899677916867338</v>
      </c>
      <c r="M68" s="378"/>
      <c r="O68" s="383"/>
      <c r="P68" s="383"/>
      <c r="Q68" s="383"/>
      <c r="R68" s="398"/>
      <c r="S68" s="399"/>
      <c r="U68" s="400"/>
      <c r="V68" s="401"/>
    </row>
    <row r="69" spans="1:22" s="379" customFormat="1" ht="10.5">
      <c r="B69" s="393">
        <v>345</v>
      </c>
      <c r="C69" s="378">
        <f t="shared" si="10"/>
        <v>2.537819095073274</v>
      </c>
      <c r="D69" s="378"/>
      <c r="F69" s="397"/>
      <c r="G69" s="383"/>
      <c r="H69" s="383"/>
      <c r="I69" s="383"/>
      <c r="J69" s="393">
        <v>19549</v>
      </c>
      <c r="K69" s="378">
        <f t="shared" si="9"/>
        <v>4.291124546612215</v>
      </c>
      <c r="M69" s="378"/>
      <c r="O69" s="383"/>
      <c r="P69" s="383"/>
      <c r="Q69" s="383"/>
      <c r="R69" s="398"/>
      <c r="S69" s="399"/>
      <c r="U69" s="400"/>
      <c r="V69" s="401"/>
    </row>
    <row r="70" spans="1:22" s="379" customFormat="1" ht="10.5">
      <c r="A70" s="376"/>
      <c r="B70" s="393">
        <v>347</v>
      </c>
      <c r="C70" s="378">
        <f t="shared" si="10"/>
        <v>2.5403294747908736</v>
      </c>
      <c r="D70" s="378"/>
      <c r="F70" s="397"/>
      <c r="G70" s="383"/>
      <c r="H70" s="383"/>
      <c r="I70" s="383"/>
      <c r="J70" s="393">
        <v>25692</v>
      </c>
      <c r="K70" s="378">
        <f t="shared" si="9"/>
        <v>4.4097979133420635</v>
      </c>
      <c r="M70" s="378"/>
      <c r="O70" s="383"/>
      <c r="P70" s="383"/>
      <c r="Q70" s="383"/>
      <c r="R70" s="398"/>
      <c r="S70" s="399"/>
      <c r="U70" s="400"/>
      <c r="V70" s="401"/>
    </row>
    <row r="71" spans="1:22" s="379" customFormat="1" ht="10.5">
      <c r="A71" s="376"/>
      <c r="B71" s="393">
        <v>379</v>
      </c>
      <c r="C71" s="378">
        <f t="shared" si="10"/>
        <v>2.5786392099680722</v>
      </c>
      <c r="D71" s="378"/>
      <c r="F71" s="397"/>
      <c r="G71" s="383"/>
      <c r="H71" s="383"/>
      <c r="I71" s="383"/>
      <c r="J71" s="393">
        <v>28949</v>
      </c>
      <c r="K71" s="378">
        <f t="shared" si="9"/>
        <v>4.4616335662678477</v>
      </c>
      <c r="M71" s="378"/>
      <c r="O71" s="383"/>
      <c r="P71" s="383"/>
      <c r="Q71" s="383"/>
      <c r="R71" s="398"/>
      <c r="S71" s="399"/>
      <c r="U71" s="400"/>
      <c r="V71" s="401"/>
    </row>
    <row r="72" spans="1:22" s="379" customFormat="1" ht="10.5">
      <c r="A72" s="376"/>
      <c r="B72" s="393">
        <v>384</v>
      </c>
      <c r="C72" s="378">
        <f t="shared" si="10"/>
        <v>2.5843312243675309</v>
      </c>
      <c r="D72" s="378"/>
      <c r="F72" s="397"/>
      <c r="G72" s="383"/>
      <c r="H72" s="383"/>
      <c r="I72" s="383"/>
      <c r="J72" s="386">
        <v>29505</v>
      </c>
      <c r="K72" s="378">
        <f t="shared" si="9"/>
        <v>4.4698956189750181</v>
      </c>
      <c r="M72" s="378"/>
      <c r="O72" s="383"/>
      <c r="P72" s="383"/>
      <c r="Q72" s="383"/>
      <c r="R72" s="398"/>
      <c r="S72" s="399"/>
      <c r="U72" s="400"/>
      <c r="V72" s="401"/>
    </row>
    <row r="73" spans="1:22" s="379" customFormat="1" ht="10.5">
      <c r="A73" s="376"/>
      <c r="B73" s="393">
        <v>517</v>
      </c>
      <c r="C73" s="378">
        <f t="shared" si="10"/>
        <v>2.7134905430939424</v>
      </c>
      <c r="D73" s="378"/>
      <c r="F73" s="397"/>
      <c r="G73" s="383"/>
      <c r="H73" s="383"/>
      <c r="I73" s="383"/>
      <c r="J73" s="393">
        <v>35003</v>
      </c>
      <c r="K73" s="378">
        <f t="shared" si="9"/>
        <v>4.5441052679963052</v>
      </c>
      <c r="M73" s="378"/>
      <c r="O73" s="383"/>
      <c r="P73" s="402"/>
      <c r="Q73" s="402"/>
      <c r="R73" s="403"/>
      <c r="S73" s="399"/>
      <c r="U73" s="400"/>
      <c r="V73" s="401"/>
    </row>
    <row r="74" spans="1:22" s="379" customFormat="1" ht="10.5">
      <c r="A74" s="376"/>
      <c r="B74" s="393">
        <v>579</v>
      </c>
      <c r="C74" s="378">
        <f t="shared" si="10"/>
        <v>2.762678563727436</v>
      </c>
      <c r="D74" s="378"/>
      <c r="F74" s="397"/>
      <c r="G74" s="383"/>
      <c r="H74" s="383"/>
      <c r="I74" s="383"/>
      <c r="J74" s="393">
        <v>41418</v>
      </c>
      <c r="K74" s="378">
        <f t="shared" si="9"/>
        <v>4.6171891237719498</v>
      </c>
      <c r="M74" s="378"/>
      <c r="O74" s="383"/>
      <c r="P74" s="402"/>
      <c r="Q74" s="402"/>
      <c r="R74" s="403"/>
      <c r="S74" s="399"/>
      <c r="U74" s="400"/>
      <c r="V74" s="401"/>
    </row>
    <row r="75" spans="1:22" s="379" customFormat="1" ht="10.5">
      <c r="A75" s="376"/>
      <c r="B75" s="393">
        <v>696</v>
      </c>
      <c r="C75" s="378">
        <f t="shared" si="10"/>
        <v>2.842609239610562</v>
      </c>
      <c r="D75" s="378"/>
      <c r="F75" s="397"/>
      <c r="G75" s="383"/>
      <c r="H75" s="383"/>
      <c r="I75" s="383"/>
      <c r="J75" s="393">
        <v>46581</v>
      </c>
      <c r="K75" s="378">
        <f t="shared" si="9"/>
        <v>4.6682088077242128</v>
      </c>
      <c r="M75" s="378"/>
      <c r="O75" s="383"/>
      <c r="P75" s="402"/>
      <c r="Q75" s="402"/>
      <c r="R75" s="403"/>
      <c r="S75" s="399"/>
      <c r="U75" s="400"/>
      <c r="V75" s="401"/>
    </row>
    <row r="76" spans="1:22" s="379" customFormat="1" ht="10.5">
      <c r="A76" s="376"/>
      <c r="B76" s="393">
        <v>835</v>
      </c>
      <c r="C76" s="378">
        <f t="shared" si="10"/>
        <v>2.9216864754836021</v>
      </c>
      <c r="D76" s="378"/>
      <c r="F76" s="397"/>
      <c r="G76" s="383"/>
      <c r="H76" s="383"/>
      <c r="I76" s="383"/>
      <c r="J76" s="393">
        <v>53914</v>
      </c>
      <c r="K76" s="378">
        <f t="shared" si="9"/>
        <v>4.7317015543009688</v>
      </c>
      <c r="M76" s="378"/>
      <c r="O76" s="383"/>
      <c r="P76" s="402"/>
      <c r="Q76" s="402"/>
      <c r="R76" s="403"/>
      <c r="S76" s="399"/>
      <c r="U76" s="400"/>
      <c r="V76" s="401"/>
    </row>
    <row r="77" spans="1:22" s="379" customFormat="1" ht="14.5" customHeight="1">
      <c r="A77" s="820">
        <v>1221</v>
      </c>
      <c r="B77" s="821"/>
      <c r="C77" s="378">
        <f t="shared" ref="C77:C82" si="15">LOG10(A77)</f>
        <v>3.0867156639448825</v>
      </c>
      <c r="D77" s="378"/>
      <c r="F77" s="397"/>
      <c r="G77" s="383"/>
      <c r="H77" s="383"/>
      <c r="I77" s="383"/>
      <c r="J77" s="393">
        <v>57881</v>
      </c>
      <c r="K77" s="378">
        <f t="shared" si="9"/>
        <v>4.7625360257422704</v>
      </c>
      <c r="M77" s="378"/>
      <c r="O77" s="383"/>
      <c r="P77" s="402"/>
      <c r="Q77" s="402"/>
      <c r="R77" s="403"/>
      <c r="S77" s="399"/>
      <c r="U77" s="400"/>
      <c r="V77" s="401"/>
    </row>
    <row r="78" spans="1:22" s="379" customFormat="1" ht="14.5" customHeight="1">
      <c r="A78" s="820">
        <v>1449</v>
      </c>
      <c r="B78" s="821"/>
      <c r="C78" s="378">
        <f t="shared" si="15"/>
        <v>3.1610683854711747</v>
      </c>
      <c r="D78" s="378"/>
      <c r="F78" s="397"/>
      <c r="G78" s="383"/>
      <c r="H78" s="383"/>
      <c r="I78" s="383"/>
      <c r="J78" s="393">
        <v>79253</v>
      </c>
      <c r="K78" s="378">
        <f t="shared" si="9"/>
        <v>4.8990157107482881</v>
      </c>
      <c r="M78" s="378"/>
      <c r="O78" s="383"/>
      <c r="P78" s="402"/>
      <c r="Q78" s="402"/>
      <c r="R78" s="403"/>
      <c r="S78" s="399"/>
      <c r="U78" s="400"/>
      <c r="V78" s="401"/>
    </row>
    <row r="79" spans="1:22" s="379" customFormat="1" ht="14.5" customHeight="1">
      <c r="A79" s="820">
        <v>1540</v>
      </c>
      <c r="B79" s="821"/>
      <c r="C79" s="378">
        <f t="shared" si="15"/>
        <v>3.1875207208364631</v>
      </c>
      <c r="D79" s="378"/>
      <c r="F79" s="397"/>
      <c r="G79" s="383"/>
      <c r="H79" s="383"/>
      <c r="I79" s="383"/>
      <c r="J79" s="393">
        <v>80640</v>
      </c>
      <c r="K79" s="378">
        <f t="shared" si="9"/>
        <v>4.90655051910145</v>
      </c>
      <c r="M79" s="378"/>
      <c r="O79" s="383"/>
      <c r="P79" s="402"/>
      <c r="Q79" s="402"/>
      <c r="R79" s="403"/>
      <c r="S79" s="399"/>
      <c r="U79" s="400"/>
      <c r="V79" s="401"/>
    </row>
    <row r="80" spans="1:22" s="379" customFormat="1" ht="14.5" customHeight="1">
      <c r="A80" s="820">
        <v>1773</v>
      </c>
      <c r="B80" s="821"/>
      <c r="C80" s="404">
        <f t="shared" si="15"/>
        <v>3.2487087356009177</v>
      </c>
      <c r="D80" s="378"/>
      <c r="F80" s="397"/>
      <c r="G80" s="383"/>
      <c r="H80" s="383"/>
      <c r="I80" s="383"/>
      <c r="J80" s="386">
        <v>82753</v>
      </c>
      <c r="K80" s="378">
        <f t="shared" si="9"/>
        <v>4.9177837469774124</v>
      </c>
      <c r="M80" s="378"/>
      <c r="O80" s="383"/>
      <c r="P80" s="402"/>
      <c r="Q80" s="402"/>
      <c r="R80" s="403"/>
      <c r="S80" s="399"/>
      <c r="U80" s="400"/>
      <c r="V80" s="401"/>
    </row>
    <row r="81" spans="1:22" s="379" customFormat="1" ht="14.5" customHeight="1" thickBot="1">
      <c r="A81" s="820">
        <v>2016</v>
      </c>
      <c r="B81" s="821"/>
      <c r="C81" s="404">
        <f t="shared" si="15"/>
        <v>3.3044905277734875</v>
      </c>
      <c r="F81" s="397"/>
      <c r="G81" s="383"/>
      <c r="H81" s="383"/>
      <c r="I81" s="383"/>
      <c r="J81" s="393">
        <v>219468</v>
      </c>
      <c r="K81" s="378">
        <f t="shared" si="9"/>
        <v>5.3413712059606304</v>
      </c>
      <c r="M81" s="383"/>
      <c r="O81" s="383"/>
      <c r="P81" s="402"/>
      <c r="Q81" s="402"/>
      <c r="R81" s="403"/>
      <c r="S81" s="399"/>
      <c r="U81" s="400"/>
      <c r="V81" s="401"/>
    </row>
    <row r="82" spans="1:22" s="376" customFormat="1" ht="15" customHeight="1" thickBot="1">
      <c r="A82" s="820">
        <v>6002</v>
      </c>
      <c r="B82" s="821"/>
      <c r="C82" s="378">
        <f t="shared" si="15"/>
        <v>3.7782959910888336</v>
      </c>
      <c r="D82" s="411" t="s">
        <v>136</v>
      </c>
      <c r="E82" s="422">
        <f>+(C82-C52)/10</f>
        <v>0.23011747363691715</v>
      </c>
      <c r="H82" s="398"/>
      <c r="I82" s="398"/>
      <c r="J82" s="406">
        <v>319696</v>
      </c>
      <c r="K82" s="378">
        <f t="shared" si="9"/>
        <v>5.5047372024625068</v>
      </c>
      <c r="L82" s="422">
        <f>+(K82-K52)/10</f>
        <v>0.29606691581122313</v>
      </c>
      <c r="M82" s="411" t="s">
        <v>136</v>
      </c>
      <c r="N82" s="405"/>
      <c r="P82" s="398"/>
      <c r="Q82" s="398"/>
      <c r="R82" s="407"/>
      <c r="S82" s="407"/>
      <c r="T82" s="408"/>
      <c r="U82" s="409"/>
      <c r="V82" s="410"/>
    </row>
    <row r="83" spans="1:22" s="379" customFormat="1" ht="14.5" customHeight="1">
      <c r="A83" s="376"/>
      <c r="F83" s="397"/>
      <c r="H83" s="383"/>
      <c r="I83" s="383"/>
      <c r="P83" s="383"/>
      <c r="Q83" s="383"/>
      <c r="R83" s="407"/>
      <c r="S83" s="412"/>
      <c r="T83" s="413"/>
      <c r="U83" s="414"/>
      <c r="V83" s="401"/>
    </row>
    <row r="84" spans="1:22" s="379" customFormat="1" ht="10.5">
      <c r="A84" s="376"/>
      <c r="F84" s="397"/>
      <c r="H84" s="383"/>
      <c r="I84" s="383"/>
      <c r="J84" s="383"/>
      <c r="P84" s="383"/>
      <c r="Q84" s="383"/>
      <c r="R84" s="407"/>
      <c r="S84" s="412"/>
      <c r="T84" s="413"/>
      <c r="U84" s="414"/>
      <c r="V84" s="401"/>
    </row>
    <row r="85" spans="1:22" s="379" customFormat="1" ht="10.5">
      <c r="A85" s="376"/>
      <c r="F85" s="397"/>
      <c r="H85" s="383"/>
      <c r="I85" s="383"/>
      <c r="J85" s="383"/>
      <c r="P85" s="383"/>
      <c r="Q85" s="383"/>
      <c r="R85" s="407"/>
      <c r="S85" s="412"/>
      <c r="T85" s="413"/>
      <c r="U85" s="414"/>
      <c r="V85" s="401"/>
    </row>
    <row r="86" spans="1:22" s="379" customFormat="1" ht="10.5">
      <c r="U86" s="401"/>
    </row>
    <row r="87" spans="1:22" s="379" customFormat="1" ht="10.5">
      <c r="U87" s="401"/>
    </row>
    <row r="88" spans="1:22" s="379" customFormat="1" ht="10.5">
      <c r="U88" s="401"/>
    </row>
    <row r="89" spans="1:22" s="379" customFormat="1" ht="10.5">
      <c r="U89" s="401"/>
    </row>
    <row r="90" spans="1:22" s="379" customFormat="1" ht="10.5">
      <c r="U90" s="401"/>
    </row>
    <row r="91" spans="1:22">
      <c r="A91" s="23"/>
      <c r="F91" s="23"/>
      <c r="H91" s="23"/>
      <c r="I91" s="23"/>
      <c r="J91" s="23"/>
      <c r="P91" s="23"/>
      <c r="Q91" s="23"/>
      <c r="R91" s="23"/>
      <c r="S91" s="23"/>
      <c r="T91" s="23"/>
      <c r="U91" s="22"/>
      <c r="V91" s="23"/>
    </row>
    <row r="92" spans="1:22">
      <c r="A92" s="23"/>
      <c r="F92" s="23"/>
      <c r="H92" s="23"/>
      <c r="I92" s="23"/>
      <c r="J92" s="23"/>
      <c r="P92" s="23"/>
      <c r="Q92" s="23"/>
      <c r="R92" s="23"/>
      <c r="S92" s="23"/>
      <c r="T92" s="23"/>
      <c r="U92" s="22"/>
      <c r="V92" s="23"/>
    </row>
    <row r="93" spans="1:22">
      <c r="A93" s="23"/>
      <c r="F93" s="23"/>
      <c r="H93" s="23"/>
      <c r="I93" s="23"/>
      <c r="J93" s="23"/>
      <c r="P93" s="23"/>
      <c r="Q93" s="23"/>
      <c r="R93" s="23"/>
      <c r="S93" s="23"/>
      <c r="T93" s="23"/>
      <c r="U93" s="22"/>
      <c r="V93" s="23"/>
    </row>
    <row r="94" spans="1:22">
      <c r="A94" s="23"/>
      <c r="F94" s="23"/>
      <c r="H94" s="23"/>
      <c r="I94" s="23"/>
      <c r="J94" s="23"/>
      <c r="P94" s="23"/>
      <c r="Q94" s="23"/>
      <c r="R94" s="23"/>
      <c r="S94" s="23"/>
      <c r="T94" s="23"/>
      <c r="U94" s="22"/>
      <c r="V94" s="23"/>
    </row>
    <row r="95" spans="1:22">
      <c r="A95" s="23"/>
      <c r="F95" s="23"/>
      <c r="H95" s="23"/>
      <c r="I95" s="23"/>
      <c r="J95" s="23"/>
      <c r="P95" s="23"/>
      <c r="Q95" s="23"/>
      <c r="R95" s="23"/>
      <c r="S95" s="23"/>
      <c r="T95" s="23"/>
      <c r="U95" s="22"/>
      <c r="V95" s="23"/>
    </row>
    <row r="96" spans="1:22">
      <c r="A96" s="23"/>
      <c r="F96" s="23"/>
      <c r="H96" s="23"/>
      <c r="I96" s="23"/>
      <c r="J96" s="23"/>
      <c r="P96" s="23"/>
      <c r="Q96" s="23"/>
      <c r="R96" s="23"/>
      <c r="S96" s="23"/>
      <c r="T96" s="23"/>
      <c r="U96" s="22"/>
      <c r="V96" s="23"/>
    </row>
    <row r="97" spans="21:21" s="23" customFormat="1">
      <c r="U97" s="22"/>
    </row>
    <row r="98" spans="21:21" s="23" customFormat="1">
      <c r="U98" s="22"/>
    </row>
    <row r="99" spans="21:21" s="23" customFormat="1">
      <c r="U99" s="22"/>
    </row>
    <row r="100" spans="21:21" s="23" customFormat="1">
      <c r="U100" s="22"/>
    </row>
    <row r="101" spans="21:21" s="23" customFormat="1">
      <c r="U101" s="22"/>
    </row>
    <row r="102" spans="21:21" s="23" customFormat="1">
      <c r="U102" s="22"/>
    </row>
    <row r="103" spans="21:21" s="23" customFormat="1">
      <c r="U103" s="22"/>
    </row>
    <row r="104" spans="21:21" s="23" customFormat="1">
      <c r="U104" s="22"/>
    </row>
    <row r="105" spans="21:21" s="23" customFormat="1">
      <c r="U105" s="22"/>
    </row>
    <row r="106" spans="21:21" s="23" customFormat="1">
      <c r="U106" s="22"/>
    </row>
    <row r="107" spans="21:21" s="23" customFormat="1">
      <c r="U107" s="22"/>
    </row>
    <row r="108" spans="21:21" s="23" customFormat="1">
      <c r="U108" s="22"/>
    </row>
    <row r="109" spans="21:21" s="23" customFormat="1">
      <c r="U109" s="22"/>
    </row>
    <row r="110" spans="21:21" s="23" customFormat="1">
      <c r="U110" s="22"/>
    </row>
    <row r="111" spans="21:21" s="23" customFormat="1">
      <c r="U111" s="22"/>
    </row>
    <row r="112" spans="21:21" s="23" customFormat="1">
      <c r="U112" s="22"/>
    </row>
    <row r="113" spans="21:21" s="23" customFormat="1">
      <c r="U113" s="22"/>
    </row>
    <row r="114" spans="21:21" s="23" customFormat="1">
      <c r="U114" s="22"/>
    </row>
    <row r="115" spans="21:21" s="23" customFormat="1">
      <c r="U115" s="22"/>
    </row>
    <row r="116" spans="21:21" s="23" customFormat="1">
      <c r="U116" s="22"/>
    </row>
    <row r="117" spans="21:21" s="23" customFormat="1">
      <c r="U117" s="22"/>
    </row>
    <row r="118" spans="21:21" s="23" customFormat="1">
      <c r="U118" s="22"/>
    </row>
    <row r="119" spans="21:21" s="23" customFormat="1">
      <c r="U119" s="22"/>
    </row>
    <row r="120" spans="21:21" s="23" customFormat="1">
      <c r="U120" s="22"/>
    </row>
    <row r="121" spans="21:21" s="23" customFormat="1">
      <c r="U121" s="22"/>
    </row>
    <row r="122" spans="21:21" s="23" customFormat="1">
      <c r="U122" s="22"/>
    </row>
    <row r="123" spans="21:21" s="23" customFormat="1">
      <c r="U123" s="22"/>
    </row>
    <row r="124" spans="21:21" s="23" customFormat="1">
      <c r="U124" s="22"/>
    </row>
    <row r="125" spans="21:21" s="23" customFormat="1">
      <c r="U125" s="22"/>
    </row>
    <row r="126" spans="21:21" s="23" customFormat="1">
      <c r="U126" s="22"/>
    </row>
    <row r="127" spans="21:21" s="23" customFormat="1">
      <c r="U127" s="22"/>
    </row>
    <row r="128" spans="21:21" s="23" customFormat="1">
      <c r="U128" s="22"/>
    </row>
    <row r="129" spans="21:21" s="23" customFormat="1">
      <c r="U129" s="22"/>
    </row>
    <row r="130" spans="21:21" s="23" customFormat="1">
      <c r="U130" s="22"/>
    </row>
    <row r="131" spans="21:21" s="23" customFormat="1">
      <c r="U131" s="22"/>
    </row>
    <row r="132" spans="21:21" s="23" customFormat="1">
      <c r="U132" s="22"/>
    </row>
    <row r="133" spans="21:21" s="23" customFormat="1">
      <c r="U133" s="22"/>
    </row>
    <row r="134" spans="21:21" s="23" customFormat="1">
      <c r="U134" s="22"/>
    </row>
    <row r="135" spans="21:21" s="23" customFormat="1">
      <c r="U135" s="22"/>
    </row>
    <row r="136" spans="21:21" s="23" customFormat="1">
      <c r="U136" s="22"/>
    </row>
    <row r="137" spans="21:21" s="23" customFormat="1">
      <c r="U137" s="22"/>
    </row>
    <row r="138" spans="21:21" s="23" customFormat="1">
      <c r="U138" s="22"/>
    </row>
    <row r="139" spans="21:21" s="23" customFormat="1">
      <c r="U139" s="22"/>
    </row>
    <row r="140" spans="21:21" s="23" customFormat="1">
      <c r="U140" s="22"/>
    </row>
    <row r="141" spans="21:21" s="23" customFormat="1">
      <c r="U141" s="22"/>
    </row>
    <row r="142" spans="21:21" s="23" customFormat="1">
      <c r="U142" s="22"/>
    </row>
    <row r="143" spans="21:21" s="23" customFormat="1">
      <c r="U143" s="22"/>
    </row>
    <row r="144" spans="21:21" s="23" customFormat="1">
      <c r="U144" s="22"/>
    </row>
    <row r="145" spans="21:21" s="23" customFormat="1">
      <c r="U145" s="22"/>
    </row>
    <row r="146" spans="21:21" s="23" customFormat="1">
      <c r="U146" s="22"/>
    </row>
    <row r="147" spans="21:21" s="23" customFormat="1">
      <c r="U147" s="22"/>
    </row>
    <row r="148" spans="21:21" s="23" customFormat="1">
      <c r="U148" s="22"/>
    </row>
    <row r="149" spans="21:21" s="23" customFormat="1">
      <c r="U149" s="22"/>
    </row>
    <row r="150" spans="21:21" s="23" customFormat="1">
      <c r="U150" s="22"/>
    </row>
    <row r="151" spans="21:21" s="23" customFormat="1">
      <c r="U151" s="22"/>
    </row>
    <row r="152" spans="21:21" s="23" customFormat="1">
      <c r="U152" s="22"/>
    </row>
    <row r="153" spans="21:21" s="23" customFormat="1">
      <c r="U153" s="22"/>
    </row>
    <row r="154" spans="21:21" s="23" customFormat="1">
      <c r="U154" s="22"/>
    </row>
    <row r="155" spans="21:21" s="23" customFormat="1">
      <c r="U155" s="22"/>
    </row>
    <row r="156" spans="21:21" s="23" customFormat="1">
      <c r="U156" s="22"/>
    </row>
    <row r="157" spans="21:21" s="23" customFormat="1">
      <c r="U157" s="22"/>
    </row>
    <row r="158" spans="21:21" s="23" customFormat="1">
      <c r="U158" s="22"/>
    </row>
    <row r="159" spans="21:21" s="23" customFormat="1">
      <c r="U159" s="22"/>
    </row>
    <row r="160" spans="21:21" s="23" customFormat="1">
      <c r="U160" s="22"/>
    </row>
    <row r="161" spans="21:21" s="23" customFormat="1">
      <c r="U161" s="22"/>
    </row>
    <row r="162" spans="21:21" s="23" customFormat="1">
      <c r="U162" s="22"/>
    </row>
    <row r="163" spans="21:21" s="23" customFormat="1">
      <c r="U163" s="22"/>
    </row>
    <row r="164" spans="21:21" s="23" customFormat="1">
      <c r="U164" s="22"/>
    </row>
    <row r="165" spans="21:21" s="23" customFormat="1">
      <c r="U165" s="22"/>
    </row>
    <row r="166" spans="21:21" s="23" customFormat="1">
      <c r="U166" s="22"/>
    </row>
    <row r="167" spans="21:21" s="23" customFormat="1">
      <c r="U167" s="22"/>
    </row>
    <row r="168" spans="21:21" s="23" customFormat="1">
      <c r="U168" s="22"/>
    </row>
    <row r="169" spans="21:21" s="23" customFormat="1">
      <c r="U169" s="22"/>
    </row>
    <row r="170" spans="21:21" s="23" customFormat="1">
      <c r="U170" s="22"/>
    </row>
    <row r="171" spans="21:21" s="23" customFormat="1">
      <c r="U171" s="22"/>
    </row>
    <row r="172" spans="21:21" s="23" customFormat="1">
      <c r="U172" s="22"/>
    </row>
    <row r="173" spans="21:21" s="23" customFormat="1">
      <c r="U173" s="22"/>
    </row>
    <row r="174" spans="21:21" s="23" customFormat="1">
      <c r="U174" s="22"/>
    </row>
    <row r="175" spans="21:21" s="23" customFormat="1">
      <c r="U175" s="22"/>
    </row>
    <row r="176" spans="21:21" s="23" customFormat="1">
      <c r="U176" s="22"/>
    </row>
    <row r="177" spans="21:21" s="23" customFormat="1">
      <c r="U177" s="22"/>
    </row>
    <row r="178" spans="21:21" s="23" customFormat="1">
      <c r="U178" s="22"/>
    </row>
    <row r="179" spans="21:21" s="23" customFormat="1">
      <c r="U179" s="22"/>
    </row>
    <row r="180" spans="21:21" s="23" customFormat="1">
      <c r="U180" s="22"/>
    </row>
    <row r="181" spans="21:21" s="23" customFormat="1">
      <c r="U181" s="22"/>
    </row>
    <row r="195" spans="8:22">
      <c r="H195" s="23"/>
      <c r="I195" s="23"/>
      <c r="J195" s="23"/>
      <c r="P195" s="23"/>
      <c r="Q195" s="23"/>
      <c r="R195" s="140"/>
      <c r="S195" s="23"/>
      <c r="T195" s="23"/>
      <c r="U195" s="22"/>
      <c r="V195" s="23"/>
    </row>
    <row r="196" spans="8:22">
      <c r="H196" s="23"/>
      <c r="I196" s="23"/>
      <c r="J196" s="23"/>
      <c r="P196" s="23"/>
      <c r="Q196" s="23"/>
      <c r="R196" s="140"/>
      <c r="S196" s="23"/>
      <c r="T196" s="23"/>
      <c r="U196" s="22"/>
      <c r="V196" s="23"/>
    </row>
    <row r="197" spans="8:22">
      <c r="H197" s="23"/>
      <c r="I197" s="23"/>
      <c r="J197" s="23"/>
      <c r="P197" s="23"/>
      <c r="Q197" s="23"/>
      <c r="R197" s="140"/>
      <c r="S197" s="23"/>
      <c r="T197" s="23"/>
      <c r="U197" s="22"/>
      <c r="V197" s="23"/>
    </row>
    <row r="198" spans="8:22">
      <c r="H198" s="23"/>
      <c r="I198" s="23"/>
      <c r="J198" s="23"/>
      <c r="P198" s="23"/>
      <c r="Q198" s="23"/>
      <c r="R198" s="140"/>
      <c r="S198" s="23"/>
      <c r="T198" s="23"/>
      <c r="U198" s="22"/>
      <c r="V198" s="23"/>
    </row>
  </sheetData>
  <mergeCells count="75">
    <mergeCell ref="C13:D13"/>
    <mergeCell ref="A2:P2"/>
    <mergeCell ref="A3:P3"/>
    <mergeCell ref="R3:T3"/>
    <mergeCell ref="R4:S4"/>
    <mergeCell ref="R5:S5"/>
    <mergeCell ref="C7:D7"/>
    <mergeCell ref="C8:D8"/>
    <mergeCell ref="C9:D9"/>
    <mergeCell ref="C10:D10"/>
    <mergeCell ref="C11:D11"/>
    <mergeCell ref="C12:D12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37:D37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O38:Q38"/>
    <mergeCell ref="O39:R39"/>
    <mergeCell ref="C41:D41"/>
    <mergeCell ref="E41:F41"/>
    <mergeCell ref="A42:D42"/>
    <mergeCell ref="E42:F42"/>
    <mergeCell ref="A43:B43"/>
    <mergeCell ref="C43:D43"/>
    <mergeCell ref="E43:F43"/>
    <mergeCell ref="S43:T43"/>
    <mergeCell ref="B44:D44"/>
    <mergeCell ref="E44:F44"/>
    <mergeCell ref="A45:B45"/>
    <mergeCell ref="C45:D45"/>
    <mergeCell ref="E45:F45"/>
    <mergeCell ref="A46:B46"/>
    <mergeCell ref="C46:D46"/>
    <mergeCell ref="E46:F46"/>
    <mergeCell ref="F60:G60"/>
    <mergeCell ref="A47:B47"/>
    <mergeCell ref="C47:D47"/>
    <mergeCell ref="E47:F47"/>
    <mergeCell ref="A48:B48"/>
    <mergeCell ref="C48:D48"/>
    <mergeCell ref="E48:F48"/>
    <mergeCell ref="I48:M48"/>
    <mergeCell ref="A49:B49"/>
    <mergeCell ref="E49:F49"/>
    <mergeCell ref="A51:B51"/>
    <mergeCell ref="E51:H51"/>
    <mergeCell ref="A80:B80"/>
    <mergeCell ref="A81:B81"/>
    <mergeCell ref="A82:B82"/>
    <mergeCell ref="F61:G61"/>
    <mergeCell ref="F62:G62"/>
    <mergeCell ref="F63:G63"/>
    <mergeCell ref="A77:B77"/>
    <mergeCell ref="A78:B78"/>
    <mergeCell ref="A79:B79"/>
  </mergeCells>
  <pageMargins left="7.874015748031496E-2" right="7.874015748031496E-2" top="0.55118110236220474" bottom="0.55118110236220474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56"/>
  <sheetViews>
    <sheetView workbookViewId="0">
      <selection activeCell="W71" sqref="A1:W71"/>
    </sheetView>
  </sheetViews>
  <sheetFormatPr defaultColWidth="9.26953125" defaultRowHeight="11.5"/>
  <cols>
    <col min="1" max="1" width="3.1796875" style="23" customWidth="1"/>
    <col min="2" max="2" width="3.1796875" style="140" customWidth="1"/>
    <col min="3" max="3" width="11.54296875" style="23" customWidth="1"/>
    <col min="4" max="4" width="4" style="141" customWidth="1"/>
    <col min="5" max="5" width="7.453125" style="182" customWidth="1"/>
    <col min="6" max="6" width="6.7265625" style="182" customWidth="1"/>
    <col min="7" max="7" width="5.26953125" style="182" customWidth="1"/>
    <col min="8" max="8" width="5.1796875" style="182" customWidth="1"/>
    <col min="9" max="9" width="5.7265625" style="23" customWidth="1"/>
    <col min="10" max="10" width="3.7265625" style="23" customWidth="1"/>
    <col min="11" max="11" width="7.7265625" style="23" customWidth="1"/>
    <col min="12" max="12" width="6.26953125" style="23" customWidth="1"/>
    <col min="13" max="13" width="8.26953125" style="141" customWidth="1"/>
    <col min="14" max="14" width="3.81640625" style="23" customWidth="1"/>
    <col min="15" max="15" width="7.1796875" style="23" customWidth="1"/>
    <col min="16" max="16" width="6" style="23" customWidth="1"/>
    <col min="17" max="17" width="6.54296875" style="23" customWidth="1"/>
    <col min="18" max="18" width="6.1796875" style="23" customWidth="1"/>
    <col min="19" max="19" width="6.81640625" style="23" customWidth="1"/>
    <col min="20" max="20" width="8.7265625" style="183" customWidth="1"/>
    <col min="21" max="21" width="6.26953125" style="23" customWidth="1"/>
    <col min="22" max="22" width="4.7265625" style="23" customWidth="1"/>
    <col min="23" max="23" width="6.7265625" style="141" customWidth="1"/>
    <col min="24" max="24" width="7.7265625" style="365" customWidth="1"/>
    <col min="25" max="25" width="9.26953125" style="22"/>
    <col min="26" max="16384" width="9.26953125" style="23"/>
  </cols>
  <sheetData>
    <row r="1" spans="1:26">
      <c r="A1" s="23" t="s">
        <v>142</v>
      </c>
      <c r="W1" s="20" t="s">
        <v>139</v>
      </c>
      <c r="X1" s="184"/>
    </row>
    <row r="2" spans="1:26" ht="13.5" customHeight="1" thickBot="1">
      <c r="A2" s="185"/>
      <c r="B2" s="186"/>
      <c r="C2" s="185"/>
      <c r="D2" s="187"/>
      <c r="E2" s="185"/>
      <c r="F2" s="185"/>
      <c r="G2" s="185"/>
      <c r="H2" s="185"/>
      <c r="I2" s="185"/>
      <c r="J2" s="185"/>
      <c r="K2" s="185"/>
      <c r="L2" s="185"/>
      <c r="M2" s="187"/>
      <c r="N2" s="185"/>
      <c r="O2" s="185"/>
      <c r="P2" s="185"/>
      <c r="Q2" s="185"/>
      <c r="R2" s="185"/>
      <c r="S2" s="185"/>
      <c r="T2" s="188"/>
      <c r="U2" s="766"/>
      <c r="V2" s="766"/>
      <c r="W2" s="767"/>
      <c r="X2" s="189"/>
    </row>
    <row r="3" spans="1:26" ht="12" thickBot="1">
      <c r="A3" s="190"/>
      <c r="B3" s="191"/>
      <c r="C3" s="192" t="s">
        <v>83</v>
      </c>
      <c r="D3" s="193" t="s">
        <v>1</v>
      </c>
      <c r="E3" s="194" t="s">
        <v>84</v>
      </c>
      <c r="F3" s="195" t="s">
        <v>85</v>
      </c>
      <c r="G3" s="768" t="s">
        <v>86</v>
      </c>
      <c r="H3" s="769"/>
      <c r="I3" s="196" t="s">
        <v>2</v>
      </c>
      <c r="J3" s="197"/>
      <c r="K3" s="196" t="s">
        <v>131</v>
      </c>
      <c r="L3" s="196"/>
      <c r="M3" s="198"/>
      <c r="N3" s="196"/>
      <c r="O3" s="199" t="s">
        <v>3</v>
      </c>
      <c r="P3" s="200" t="s">
        <v>4</v>
      </c>
      <c r="Q3" s="201" t="s">
        <v>5</v>
      </c>
      <c r="R3" s="202" t="s">
        <v>6</v>
      </c>
      <c r="S3" s="39" t="s">
        <v>133</v>
      </c>
      <c r="T3" s="40" t="s">
        <v>133</v>
      </c>
      <c r="U3" s="203"/>
      <c r="V3" s="204"/>
      <c r="W3" s="3" t="s">
        <v>7</v>
      </c>
      <c r="X3" s="4"/>
    </row>
    <row r="4" spans="1:26" s="56" customFormat="1" ht="46.5" thickBot="1">
      <c r="A4" s="47"/>
      <c r="B4" s="205" t="s">
        <v>8</v>
      </c>
      <c r="C4" s="52" t="s">
        <v>87</v>
      </c>
      <c r="D4" s="206" t="s">
        <v>88</v>
      </c>
      <c r="E4" s="207" t="s">
        <v>89</v>
      </c>
      <c r="F4" s="208" t="s">
        <v>90</v>
      </c>
      <c r="G4" s="209" t="s">
        <v>91</v>
      </c>
      <c r="H4" s="210" t="s">
        <v>92</v>
      </c>
      <c r="I4" s="211" t="s">
        <v>93</v>
      </c>
      <c r="J4" s="212" t="s">
        <v>94</v>
      </c>
      <c r="K4" s="213" t="s">
        <v>13</v>
      </c>
      <c r="L4" s="214" t="s">
        <v>95</v>
      </c>
      <c r="M4" s="215" t="s">
        <v>96</v>
      </c>
      <c r="N4" s="216" t="s">
        <v>141</v>
      </c>
      <c r="O4" s="217" t="s">
        <v>16</v>
      </c>
      <c r="P4" s="214" t="s">
        <v>17</v>
      </c>
      <c r="Q4" s="214" t="s">
        <v>97</v>
      </c>
      <c r="R4" s="218" t="s">
        <v>98</v>
      </c>
      <c r="S4" s="430" t="s">
        <v>143</v>
      </c>
      <c r="T4" s="219" t="s">
        <v>21</v>
      </c>
      <c r="U4" s="770" t="s">
        <v>132</v>
      </c>
      <c r="V4" s="770"/>
      <c r="W4" s="5" t="s">
        <v>100</v>
      </c>
      <c r="X4" s="6"/>
      <c r="Y4" s="55"/>
    </row>
    <row r="5" spans="1:26" s="237" customFormat="1" ht="17.25" customHeight="1" thickBot="1">
      <c r="A5" s="220">
        <f>SUM(A6:A30)</f>
        <v>16</v>
      </c>
      <c r="B5" s="221"/>
      <c r="C5" s="222" t="s">
        <v>24</v>
      </c>
      <c r="D5" s="223">
        <f t="shared" ref="D5:R5" si="0">SUM(D6:D21)</f>
        <v>237</v>
      </c>
      <c r="E5" s="224">
        <f t="shared" si="0"/>
        <v>140529</v>
      </c>
      <c r="F5" s="225">
        <f t="shared" si="0"/>
        <v>92853</v>
      </c>
      <c r="G5" s="226"/>
      <c r="H5" s="227"/>
      <c r="I5" s="228">
        <f t="shared" si="0"/>
        <v>20263</v>
      </c>
      <c r="J5" s="229">
        <f t="shared" si="0"/>
        <v>83</v>
      </c>
      <c r="K5" s="7">
        <f t="shared" si="0"/>
        <v>2299270</v>
      </c>
      <c r="L5" s="228">
        <f t="shared" si="0"/>
        <v>365132</v>
      </c>
      <c r="M5" s="228">
        <f t="shared" si="0"/>
        <v>1934138</v>
      </c>
      <c r="N5" s="223">
        <f t="shared" si="0"/>
        <v>86</v>
      </c>
      <c r="O5" s="8">
        <f t="shared" si="0"/>
        <v>118694.56000000004</v>
      </c>
      <c r="P5" s="228">
        <f t="shared" si="0"/>
        <v>79130.000000000015</v>
      </c>
      <c r="Q5" s="228">
        <f>SUM(Q6:Q21)</f>
        <v>138477.50000000003</v>
      </c>
      <c r="R5" s="230">
        <f t="shared" si="0"/>
        <v>59347.500000000015</v>
      </c>
      <c r="S5" s="231">
        <f>SUM(S6:S21)</f>
        <v>395649.56</v>
      </c>
      <c r="T5" s="232">
        <f>SUM(T6:T21)</f>
        <v>395795</v>
      </c>
      <c r="U5" s="233">
        <f>+S5-W5</f>
        <v>40572.559999999998</v>
      </c>
      <c r="V5" s="234">
        <f>+U5/W5*100</f>
        <v>11.426411736045985</v>
      </c>
      <c r="W5" s="235">
        <f>SUM(W6:W21)</f>
        <v>355077</v>
      </c>
      <c r="X5" s="9"/>
      <c r="Y5" s="236"/>
    </row>
    <row r="6" spans="1:26" ht="14.15" customHeight="1">
      <c r="A6" s="238">
        <v>1</v>
      </c>
      <c r="B6" s="239">
        <v>1</v>
      </c>
      <c r="C6" s="240" t="s">
        <v>101</v>
      </c>
      <c r="D6" s="241">
        <v>20</v>
      </c>
      <c r="E6" s="242">
        <v>27644</v>
      </c>
      <c r="F6" s="243">
        <v>17154</v>
      </c>
      <c r="G6" s="244">
        <f>+I6/E6*100</f>
        <v>15.970915931124294</v>
      </c>
      <c r="H6" s="245">
        <f>+I6/F6*100</f>
        <v>25.73743733240061</v>
      </c>
      <c r="I6" s="246">
        <v>4415</v>
      </c>
      <c r="J6" s="247">
        <v>10</v>
      </c>
      <c r="K6" s="248">
        <v>507611</v>
      </c>
      <c r="L6" s="249">
        <v>38287</v>
      </c>
      <c r="M6" s="246">
        <f>+K6-L6</f>
        <v>469324</v>
      </c>
      <c r="N6" s="250">
        <v>10</v>
      </c>
      <c r="O6" s="251">
        <f t="shared" ref="O6:O21" si="1">+$D$25</f>
        <v>7418.41</v>
      </c>
      <c r="P6" s="252">
        <f t="shared" ref="P6:P21" si="2">+$M$26*D6/$D$5</f>
        <v>6677.6371308016878</v>
      </c>
      <c r="Q6" s="252">
        <f t="shared" ref="Q6:Q21" si="3">+$M$27*J6/$J$5</f>
        <v>16684.036144578313</v>
      </c>
      <c r="R6" s="253">
        <f t="shared" ref="R6:R21" si="4">+$M$28*N6/$N$5</f>
        <v>6900.8720930232557</v>
      </c>
      <c r="S6" s="254">
        <f t="shared" ref="S6:S21" si="5">SUM(O6:Q6)+R6</f>
        <v>37680.955368403258</v>
      </c>
      <c r="T6" s="255">
        <v>37827</v>
      </c>
      <c r="U6" s="256">
        <f>+S6-W6</f>
        <v>-146.04463159674197</v>
      </c>
      <c r="V6" s="257">
        <f>+U6/W6*100</f>
        <v>-0.38608568376223851</v>
      </c>
      <c r="W6" s="258">
        <v>37827</v>
      </c>
      <c r="X6" s="12">
        <f>+U6</f>
        <v>-146.04463159674197</v>
      </c>
      <c r="Y6" s="71">
        <f>+U6</f>
        <v>-146.04463159674197</v>
      </c>
    </row>
    <row r="7" spans="1:26" ht="14.15" customHeight="1">
      <c r="A7" s="259">
        <v>1</v>
      </c>
      <c r="B7" s="260">
        <v>2</v>
      </c>
      <c r="C7" s="261" t="s">
        <v>102</v>
      </c>
      <c r="D7" s="262">
        <v>22</v>
      </c>
      <c r="E7" s="263">
        <v>21970</v>
      </c>
      <c r="F7" s="264">
        <v>11627</v>
      </c>
      <c r="G7" s="265">
        <f t="shared" ref="G7:G21" si="6">+I7/E7*100</f>
        <v>11.888939462903959</v>
      </c>
      <c r="H7" s="266">
        <f t="shared" ref="H7:H21" si="7">+I7/F7*100</f>
        <v>22.464952266276768</v>
      </c>
      <c r="I7" s="267">
        <v>2612</v>
      </c>
      <c r="J7" s="268">
        <v>9</v>
      </c>
      <c r="K7" s="269">
        <v>315155</v>
      </c>
      <c r="L7" s="270">
        <v>35757</v>
      </c>
      <c r="M7" s="271">
        <f t="shared" ref="M7:M21" si="8">+K7-L7</f>
        <v>279398</v>
      </c>
      <c r="N7" s="272">
        <v>10</v>
      </c>
      <c r="O7" s="273">
        <f t="shared" si="1"/>
        <v>7418.41</v>
      </c>
      <c r="P7" s="274">
        <f t="shared" si="2"/>
        <v>7345.4008438818564</v>
      </c>
      <c r="Q7" s="274">
        <f t="shared" si="3"/>
        <v>15015.632530120482</v>
      </c>
      <c r="R7" s="275">
        <f t="shared" si="4"/>
        <v>6900.8720930232557</v>
      </c>
      <c r="S7" s="276">
        <f t="shared" si="5"/>
        <v>36680.31546702559</v>
      </c>
      <c r="T7" s="277">
        <v>36680</v>
      </c>
      <c r="U7" s="278">
        <f t="shared" ref="U7:U21" si="9">+S7-W7</f>
        <v>2168.3154670255899</v>
      </c>
      <c r="V7" s="279">
        <f t="shared" ref="V7:V21" si="10">+U7/W7*100</f>
        <v>6.282787050955001</v>
      </c>
      <c r="W7" s="280">
        <v>34512</v>
      </c>
      <c r="X7" s="11"/>
      <c r="Y7" s="71"/>
    </row>
    <row r="8" spans="1:26" ht="14.15" customHeight="1">
      <c r="A8" s="259">
        <v>1</v>
      </c>
      <c r="B8" s="260">
        <v>3</v>
      </c>
      <c r="C8" s="281" t="s">
        <v>103</v>
      </c>
      <c r="D8" s="282">
        <v>20</v>
      </c>
      <c r="E8" s="283">
        <v>21979</v>
      </c>
      <c r="F8" s="284">
        <v>19184</v>
      </c>
      <c r="G8" s="265">
        <f t="shared" si="6"/>
        <v>13.958778834341873</v>
      </c>
      <c r="H8" s="266">
        <f t="shared" si="7"/>
        <v>15.992493744787323</v>
      </c>
      <c r="I8" s="285">
        <v>3068</v>
      </c>
      <c r="J8" s="286">
        <v>9</v>
      </c>
      <c r="K8" s="269">
        <v>250241</v>
      </c>
      <c r="L8" s="270">
        <v>35868</v>
      </c>
      <c r="M8" s="271">
        <f t="shared" si="8"/>
        <v>214373</v>
      </c>
      <c r="N8" s="287">
        <v>9</v>
      </c>
      <c r="O8" s="273">
        <f t="shared" si="1"/>
        <v>7418.41</v>
      </c>
      <c r="P8" s="274">
        <f t="shared" si="2"/>
        <v>6677.6371308016878</v>
      </c>
      <c r="Q8" s="274">
        <f t="shared" si="3"/>
        <v>15015.632530120482</v>
      </c>
      <c r="R8" s="275">
        <f t="shared" si="4"/>
        <v>6210.7848837209303</v>
      </c>
      <c r="S8" s="276">
        <f t="shared" si="5"/>
        <v>35322.464544643102</v>
      </c>
      <c r="T8" s="288">
        <v>35322</v>
      </c>
      <c r="U8" s="289">
        <f t="shared" si="9"/>
        <v>-396.53545535689773</v>
      </c>
      <c r="V8" s="290">
        <f t="shared" si="10"/>
        <v>-1.1101527348383151</v>
      </c>
      <c r="W8" s="280">
        <v>35719</v>
      </c>
      <c r="X8" s="11"/>
      <c r="Y8" s="71">
        <f>+U8</f>
        <v>-396.53545535689773</v>
      </c>
    </row>
    <row r="9" spans="1:26" ht="14.15" customHeight="1">
      <c r="A9" s="259">
        <v>1</v>
      </c>
      <c r="B9" s="260">
        <v>4</v>
      </c>
      <c r="C9" s="291" t="s">
        <v>104</v>
      </c>
      <c r="D9" s="292">
        <v>22</v>
      </c>
      <c r="E9" s="263">
        <v>6589</v>
      </c>
      <c r="F9" s="264">
        <v>5042</v>
      </c>
      <c r="G9" s="265">
        <f t="shared" si="6"/>
        <v>18.743360145697373</v>
      </c>
      <c r="H9" s="266">
        <f t="shared" si="7"/>
        <v>24.494248314161045</v>
      </c>
      <c r="I9" s="285">
        <v>1235</v>
      </c>
      <c r="J9" s="268">
        <v>6</v>
      </c>
      <c r="K9" s="293">
        <v>95127</v>
      </c>
      <c r="L9" s="270">
        <v>27444</v>
      </c>
      <c r="M9" s="267">
        <f t="shared" si="8"/>
        <v>67683</v>
      </c>
      <c r="N9" s="294">
        <v>6</v>
      </c>
      <c r="O9" s="273">
        <f t="shared" si="1"/>
        <v>7418.41</v>
      </c>
      <c r="P9" s="274">
        <f t="shared" si="2"/>
        <v>7345.4008438818564</v>
      </c>
      <c r="Q9" s="274">
        <f t="shared" si="3"/>
        <v>10010.421686746988</v>
      </c>
      <c r="R9" s="275">
        <f t="shared" si="4"/>
        <v>4140.5232558139533</v>
      </c>
      <c r="S9" s="276">
        <f t="shared" si="5"/>
        <v>28914.755786442798</v>
      </c>
      <c r="T9" s="277">
        <v>28915</v>
      </c>
      <c r="U9" s="278">
        <f t="shared" si="9"/>
        <v>3990.7557864427981</v>
      </c>
      <c r="V9" s="279">
        <f t="shared" si="10"/>
        <v>16.011698709849135</v>
      </c>
      <c r="W9" s="280">
        <v>24924</v>
      </c>
      <c r="X9" s="11"/>
      <c r="Y9" s="71"/>
    </row>
    <row r="10" spans="1:26" ht="14.15" customHeight="1">
      <c r="A10" s="259">
        <v>1</v>
      </c>
      <c r="B10" s="260">
        <v>5</v>
      </c>
      <c r="C10" s="291" t="s">
        <v>105</v>
      </c>
      <c r="D10" s="295">
        <v>19</v>
      </c>
      <c r="E10" s="263">
        <v>8249</v>
      </c>
      <c r="F10" s="264">
        <v>5847</v>
      </c>
      <c r="G10" s="265">
        <f t="shared" si="6"/>
        <v>15.044247787610621</v>
      </c>
      <c r="H10" s="266">
        <f t="shared" si="7"/>
        <v>21.224559603215322</v>
      </c>
      <c r="I10" s="285">
        <v>1241</v>
      </c>
      <c r="J10" s="268">
        <v>6</v>
      </c>
      <c r="K10" s="296">
        <v>202204</v>
      </c>
      <c r="L10" s="270">
        <v>24068</v>
      </c>
      <c r="M10" s="267">
        <f>+K10-L10</f>
        <v>178136</v>
      </c>
      <c r="N10" s="294">
        <v>8</v>
      </c>
      <c r="O10" s="273">
        <f t="shared" si="1"/>
        <v>7418.41</v>
      </c>
      <c r="P10" s="274">
        <f t="shared" si="2"/>
        <v>6343.7552742616035</v>
      </c>
      <c r="Q10" s="274">
        <f t="shared" si="3"/>
        <v>10010.421686746988</v>
      </c>
      <c r="R10" s="275">
        <f t="shared" si="4"/>
        <v>5520.6976744186049</v>
      </c>
      <c r="S10" s="276">
        <f t="shared" si="5"/>
        <v>29293.284635427197</v>
      </c>
      <c r="T10" s="277">
        <v>29293</v>
      </c>
      <c r="U10" s="278">
        <f t="shared" si="9"/>
        <v>5378.2846354271969</v>
      </c>
      <c r="V10" s="279">
        <f t="shared" si="10"/>
        <v>22.489168452549432</v>
      </c>
      <c r="W10" s="280">
        <v>23915</v>
      </c>
      <c r="X10" s="11"/>
      <c r="Y10" s="71"/>
    </row>
    <row r="11" spans="1:26" ht="14.15" customHeight="1">
      <c r="A11" s="259">
        <v>1</v>
      </c>
      <c r="B11" s="260">
        <v>6</v>
      </c>
      <c r="C11" s="297" t="s">
        <v>106</v>
      </c>
      <c r="D11" s="292">
        <v>14</v>
      </c>
      <c r="E11" s="263">
        <v>8533</v>
      </c>
      <c r="F11" s="264">
        <v>6062</v>
      </c>
      <c r="G11" s="265">
        <f t="shared" si="6"/>
        <v>22.465721317238955</v>
      </c>
      <c r="H11" s="266">
        <f t="shared" si="7"/>
        <v>31.623226657868692</v>
      </c>
      <c r="I11" s="267">
        <v>1917</v>
      </c>
      <c r="J11" s="268">
        <v>8</v>
      </c>
      <c r="K11" s="296">
        <v>139034</v>
      </c>
      <c r="L11" s="270">
        <v>26238</v>
      </c>
      <c r="M11" s="267">
        <f>+K11-L11</f>
        <v>112796</v>
      </c>
      <c r="N11" s="294">
        <v>6</v>
      </c>
      <c r="O11" s="273">
        <f t="shared" si="1"/>
        <v>7418.41</v>
      </c>
      <c r="P11" s="274">
        <f t="shared" si="2"/>
        <v>4674.3459915611811</v>
      </c>
      <c r="Q11" s="274">
        <f t="shared" si="3"/>
        <v>13347.22891566265</v>
      </c>
      <c r="R11" s="275">
        <f t="shared" si="4"/>
        <v>4140.5232558139533</v>
      </c>
      <c r="S11" s="276">
        <f t="shared" si="5"/>
        <v>29580.508163037786</v>
      </c>
      <c r="T11" s="277">
        <v>29581</v>
      </c>
      <c r="U11" s="298">
        <f t="shared" si="9"/>
        <v>3423.5081630377863</v>
      </c>
      <c r="V11" s="279">
        <f t="shared" si="10"/>
        <v>13.088305857085238</v>
      </c>
      <c r="W11" s="280">
        <v>26157</v>
      </c>
      <c r="X11" s="11"/>
      <c r="Y11" s="173"/>
    </row>
    <row r="12" spans="1:26" ht="14.5" customHeight="1">
      <c r="A12" s="259">
        <v>1</v>
      </c>
      <c r="B12" s="260">
        <v>7</v>
      </c>
      <c r="C12" s="297" t="s">
        <v>107</v>
      </c>
      <c r="D12" s="299">
        <v>11</v>
      </c>
      <c r="E12" s="263">
        <v>6185</v>
      </c>
      <c r="F12" s="264">
        <v>3301</v>
      </c>
      <c r="G12" s="265">
        <f t="shared" si="6"/>
        <v>11.059013742926435</v>
      </c>
      <c r="H12" s="266">
        <f t="shared" si="7"/>
        <v>20.720993638291425</v>
      </c>
      <c r="I12" s="271">
        <v>684</v>
      </c>
      <c r="J12" s="286">
        <v>4</v>
      </c>
      <c r="K12" s="296">
        <v>62390</v>
      </c>
      <c r="L12" s="270">
        <v>21018</v>
      </c>
      <c r="M12" s="267">
        <f t="shared" si="8"/>
        <v>41372</v>
      </c>
      <c r="N12" s="294">
        <v>4</v>
      </c>
      <c r="O12" s="273">
        <f t="shared" si="1"/>
        <v>7418.41</v>
      </c>
      <c r="P12" s="274">
        <f t="shared" si="2"/>
        <v>3672.7004219409282</v>
      </c>
      <c r="Q12" s="274">
        <f t="shared" si="3"/>
        <v>6673.6144578313251</v>
      </c>
      <c r="R12" s="275">
        <f t="shared" si="4"/>
        <v>2760.3488372093025</v>
      </c>
      <c r="S12" s="276">
        <f t="shared" si="5"/>
        <v>20525.073716981555</v>
      </c>
      <c r="T12" s="277">
        <v>20525</v>
      </c>
      <c r="U12" s="278">
        <f t="shared" si="9"/>
        <v>1454.0737169815548</v>
      </c>
      <c r="V12" s="279">
        <f t="shared" si="10"/>
        <v>7.6245279061483648</v>
      </c>
      <c r="W12" s="280">
        <v>19071</v>
      </c>
      <c r="X12" s="179"/>
      <c r="Y12" s="179"/>
      <c r="Z12" s="140"/>
    </row>
    <row r="13" spans="1:26" ht="14.15" customHeight="1">
      <c r="A13" s="259">
        <v>1</v>
      </c>
      <c r="B13" s="260">
        <v>8</v>
      </c>
      <c r="C13" s="291" t="s">
        <v>108</v>
      </c>
      <c r="D13" s="292">
        <v>14</v>
      </c>
      <c r="E13" s="263">
        <v>4101</v>
      </c>
      <c r="F13" s="264">
        <v>2222</v>
      </c>
      <c r="G13" s="265">
        <f t="shared" si="6"/>
        <v>15.45964398927091</v>
      </c>
      <c r="H13" s="266">
        <f t="shared" si="7"/>
        <v>28.532853285328535</v>
      </c>
      <c r="I13" s="285">
        <v>634</v>
      </c>
      <c r="J13" s="268">
        <v>4</v>
      </c>
      <c r="K13" s="293">
        <v>197119</v>
      </c>
      <c r="L13" s="270">
        <v>23467</v>
      </c>
      <c r="M13" s="267">
        <f t="shared" si="8"/>
        <v>173652</v>
      </c>
      <c r="N13" s="272">
        <v>7</v>
      </c>
      <c r="O13" s="273">
        <f t="shared" si="1"/>
        <v>7418.41</v>
      </c>
      <c r="P13" s="274">
        <f t="shared" si="2"/>
        <v>4674.3459915611811</v>
      </c>
      <c r="Q13" s="274">
        <f t="shared" si="3"/>
        <v>6673.6144578313251</v>
      </c>
      <c r="R13" s="275">
        <f t="shared" si="4"/>
        <v>4830.6104651162786</v>
      </c>
      <c r="S13" s="276">
        <f t="shared" si="5"/>
        <v>23596.980914508786</v>
      </c>
      <c r="T13" s="277">
        <v>23597</v>
      </c>
      <c r="U13" s="278">
        <f t="shared" si="9"/>
        <v>4328.9809145087856</v>
      </c>
      <c r="V13" s="279">
        <f t="shared" si="10"/>
        <v>22.467204248021517</v>
      </c>
      <c r="W13" s="280">
        <v>19268</v>
      </c>
      <c r="X13" s="179"/>
      <c r="Y13" s="300"/>
      <c r="Z13" s="140"/>
    </row>
    <row r="14" spans="1:26" ht="14.15" customHeight="1">
      <c r="A14" s="259">
        <v>1</v>
      </c>
      <c r="B14" s="260">
        <v>9</v>
      </c>
      <c r="C14" s="297" t="s">
        <v>109</v>
      </c>
      <c r="D14" s="292">
        <v>15</v>
      </c>
      <c r="E14" s="263">
        <v>2041</v>
      </c>
      <c r="F14" s="264">
        <v>1597</v>
      </c>
      <c r="G14" s="265">
        <f t="shared" si="6"/>
        <v>36.256736893679573</v>
      </c>
      <c r="H14" s="266">
        <f t="shared" si="7"/>
        <v>46.33688165309956</v>
      </c>
      <c r="I14" s="285">
        <v>740</v>
      </c>
      <c r="J14" s="268">
        <v>4</v>
      </c>
      <c r="K14" s="270">
        <v>92832</v>
      </c>
      <c r="L14" s="270">
        <v>17990</v>
      </c>
      <c r="M14" s="285">
        <f t="shared" si="8"/>
        <v>74842</v>
      </c>
      <c r="N14" s="272">
        <v>5</v>
      </c>
      <c r="O14" s="273">
        <f t="shared" si="1"/>
        <v>7418.41</v>
      </c>
      <c r="P14" s="274">
        <f t="shared" si="2"/>
        <v>5008.2278481012654</v>
      </c>
      <c r="Q14" s="274">
        <f t="shared" si="3"/>
        <v>6673.6144578313251</v>
      </c>
      <c r="R14" s="275">
        <f t="shared" si="4"/>
        <v>3450.4360465116279</v>
      </c>
      <c r="S14" s="276">
        <f t="shared" si="5"/>
        <v>22550.688352444216</v>
      </c>
      <c r="T14" s="277">
        <v>22551</v>
      </c>
      <c r="U14" s="278">
        <f t="shared" si="9"/>
        <v>2588.6883524442164</v>
      </c>
      <c r="V14" s="279">
        <f t="shared" si="10"/>
        <v>12.96808111634213</v>
      </c>
      <c r="W14" s="280">
        <v>19962</v>
      </c>
      <c r="X14" s="179"/>
      <c r="Y14" s="300"/>
      <c r="Z14" s="140"/>
    </row>
    <row r="15" spans="1:26" ht="14.15" customHeight="1">
      <c r="A15" s="259">
        <v>1</v>
      </c>
      <c r="B15" s="260">
        <v>10</v>
      </c>
      <c r="C15" s="297" t="s">
        <v>110</v>
      </c>
      <c r="D15" s="292">
        <v>12</v>
      </c>
      <c r="E15" s="263">
        <v>7046</v>
      </c>
      <c r="F15" s="264">
        <v>4209</v>
      </c>
      <c r="G15" s="265">
        <f t="shared" si="6"/>
        <v>10.246948623332388</v>
      </c>
      <c r="H15" s="266">
        <f t="shared" si="7"/>
        <v>17.153718222855787</v>
      </c>
      <c r="I15" s="285">
        <v>722</v>
      </c>
      <c r="J15" s="268">
        <v>4</v>
      </c>
      <c r="K15" s="269">
        <v>151973</v>
      </c>
      <c r="L15" s="270">
        <v>21465</v>
      </c>
      <c r="M15" s="285">
        <f t="shared" si="8"/>
        <v>130508</v>
      </c>
      <c r="N15" s="272">
        <v>7</v>
      </c>
      <c r="O15" s="273">
        <f t="shared" si="1"/>
        <v>7418.41</v>
      </c>
      <c r="P15" s="274">
        <f t="shared" si="2"/>
        <v>4006.5822784810125</v>
      </c>
      <c r="Q15" s="274">
        <f t="shared" si="3"/>
        <v>6673.6144578313251</v>
      </c>
      <c r="R15" s="275">
        <f t="shared" si="4"/>
        <v>4830.6104651162786</v>
      </c>
      <c r="S15" s="276">
        <f t="shared" si="5"/>
        <v>22929.217201428615</v>
      </c>
      <c r="T15" s="277">
        <v>22929</v>
      </c>
      <c r="U15" s="278">
        <f t="shared" si="9"/>
        <v>2454.2172014286152</v>
      </c>
      <c r="V15" s="279">
        <f t="shared" si="10"/>
        <v>11.986408798186154</v>
      </c>
      <c r="W15" s="280">
        <v>20475</v>
      </c>
      <c r="X15" s="179"/>
      <c r="Y15" s="179"/>
      <c r="Z15" s="140"/>
    </row>
    <row r="16" spans="1:26" ht="14.15" customHeight="1">
      <c r="A16" s="259">
        <v>1</v>
      </c>
      <c r="B16" s="260">
        <v>11</v>
      </c>
      <c r="C16" s="291" t="s">
        <v>111</v>
      </c>
      <c r="D16" s="299">
        <v>14</v>
      </c>
      <c r="E16" s="263">
        <v>7384</v>
      </c>
      <c r="F16" s="264">
        <v>3668</v>
      </c>
      <c r="G16" s="265">
        <f t="shared" si="6"/>
        <v>7.4079089924160346</v>
      </c>
      <c r="H16" s="266">
        <f t="shared" si="7"/>
        <v>14.912758996728462</v>
      </c>
      <c r="I16" s="285">
        <v>547</v>
      </c>
      <c r="J16" s="268">
        <v>4</v>
      </c>
      <c r="K16" s="293">
        <v>70067</v>
      </c>
      <c r="L16" s="270">
        <v>18220</v>
      </c>
      <c r="M16" s="285">
        <f t="shared" si="8"/>
        <v>51847</v>
      </c>
      <c r="N16" s="272">
        <v>4</v>
      </c>
      <c r="O16" s="273">
        <f t="shared" si="1"/>
        <v>7418.41</v>
      </c>
      <c r="P16" s="274">
        <f t="shared" si="2"/>
        <v>4674.3459915611811</v>
      </c>
      <c r="Q16" s="274">
        <f t="shared" si="3"/>
        <v>6673.6144578313251</v>
      </c>
      <c r="R16" s="275">
        <f t="shared" si="4"/>
        <v>2760.3488372093025</v>
      </c>
      <c r="S16" s="276">
        <f t="shared" si="5"/>
        <v>21526.719286601809</v>
      </c>
      <c r="T16" s="277">
        <v>21527</v>
      </c>
      <c r="U16" s="278">
        <f t="shared" si="9"/>
        <v>3804.7192866018086</v>
      </c>
      <c r="V16" s="279">
        <f t="shared" si="10"/>
        <v>21.468904675554725</v>
      </c>
      <c r="W16" s="280">
        <v>17722</v>
      </c>
      <c r="X16" s="179"/>
      <c r="Y16" s="179"/>
      <c r="Z16" s="140"/>
    </row>
    <row r="17" spans="1:26">
      <c r="A17" s="259">
        <v>1</v>
      </c>
      <c r="B17" s="260">
        <v>12</v>
      </c>
      <c r="C17" s="291" t="s">
        <v>112</v>
      </c>
      <c r="D17" s="292">
        <v>9</v>
      </c>
      <c r="E17" s="263">
        <v>2675</v>
      </c>
      <c r="F17" s="264">
        <v>2016</v>
      </c>
      <c r="G17" s="265">
        <f t="shared" si="6"/>
        <v>10.990654205607477</v>
      </c>
      <c r="H17" s="266">
        <f t="shared" si="7"/>
        <v>14.583333333333334</v>
      </c>
      <c r="I17" s="271">
        <v>294</v>
      </c>
      <c r="J17" s="286">
        <v>2</v>
      </c>
      <c r="K17" s="293">
        <v>51108</v>
      </c>
      <c r="L17" s="270">
        <v>12892</v>
      </c>
      <c r="M17" s="285">
        <f t="shared" si="8"/>
        <v>38216</v>
      </c>
      <c r="N17" s="272">
        <v>3</v>
      </c>
      <c r="O17" s="273">
        <f t="shared" si="1"/>
        <v>7418.41</v>
      </c>
      <c r="P17" s="274">
        <f t="shared" si="2"/>
        <v>3004.9367088607596</v>
      </c>
      <c r="Q17" s="274">
        <f t="shared" si="3"/>
        <v>3336.8072289156626</v>
      </c>
      <c r="R17" s="275">
        <f t="shared" si="4"/>
        <v>2070.2616279069766</v>
      </c>
      <c r="S17" s="276">
        <f t="shared" si="5"/>
        <v>15830.415565683399</v>
      </c>
      <c r="T17" s="277">
        <v>15830</v>
      </c>
      <c r="U17" s="278">
        <f t="shared" si="9"/>
        <v>541.41556568339911</v>
      </c>
      <c r="V17" s="279">
        <f t="shared" si="10"/>
        <v>3.5412097958231352</v>
      </c>
      <c r="W17" s="280">
        <v>15289</v>
      </c>
      <c r="X17" s="179"/>
      <c r="Y17" s="179"/>
      <c r="Z17" s="140"/>
    </row>
    <row r="18" spans="1:26">
      <c r="A18" s="259">
        <v>1</v>
      </c>
      <c r="B18" s="260">
        <v>13</v>
      </c>
      <c r="C18" s="291" t="s">
        <v>113</v>
      </c>
      <c r="D18" s="295">
        <v>16</v>
      </c>
      <c r="E18" s="263">
        <v>5187</v>
      </c>
      <c r="F18" s="264">
        <v>4271</v>
      </c>
      <c r="G18" s="265">
        <f t="shared" si="6"/>
        <v>11.239637555427029</v>
      </c>
      <c r="H18" s="266">
        <f t="shared" si="7"/>
        <v>13.650199016623739</v>
      </c>
      <c r="I18" s="285">
        <v>583</v>
      </c>
      <c r="J18" s="268">
        <v>4</v>
      </c>
      <c r="K18" s="269">
        <v>41760</v>
      </c>
      <c r="L18" s="270">
        <v>16421</v>
      </c>
      <c r="M18" s="271">
        <f t="shared" si="8"/>
        <v>25339</v>
      </c>
      <c r="N18" s="287">
        <v>2</v>
      </c>
      <c r="O18" s="273">
        <f t="shared" si="1"/>
        <v>7418.41</v>
      </c>
      <c r="P18" s="274">
        <f t="shared" si="2"/>
        <v>5342.1097046413506</v>
      </c>
      <c r="Q18" s="274">
        <f t="shared" si="3"/>
        <v>6673.6144578313251</v>
      </c>
      <c r="R18" s="275">
        <f t="shared" si="4"/>
        <v>1380.1744186046512</v>
      </c>
      <c r="S18" s="276">
        <f t="shared" si="5"/>
        <v>20814.30858107733</v>
      </c>
      <c r="T18" s="277">
        <v>20814</v>
      </c>
      <c r="U18" s="278">
        <f t="shared" si="9"/>
        <v>4048.30858107733</v>
      </c>
      <c r="V18" s="279">
        <f t="shared" si="10"/>
        <v>24.145941674086423</v>
      </c>
      <c r="W18" s="280">
        <v>16766</v>
      </c>
      <c r="X18" s="179"/>
      <c r="Y18" s="300"/>
      <c r="Z18" s="140"/>
    </row>
    <row r="19" spans="1:26">
      <c r="A19" s="259">
        <v>1</v>
      </c>
      <c r="B19" s="260">
        <v>14</v>
      </c>
      <c r="C19" s="291" t="s">
        <v>114</v>
      </c>
      <c r="D19" s="292">
        <v>12</v>
      </c>
      <c r="E19" s="263">
        <v>3183</v>
      </c>
      <c r="F19" s="264">
        <v>2299</v>
      </c>
      <c r="G19" s="265">
        <f t="shared" si="6"/>
        <v>27.741124725102107</v>
      </c>
      <c r="H19" s="266">
        <f t="shared" si="7"/>
        <v>38.408003479773818</v>
      </c>
      <c r="I19" s="271">
        <v>883</v>
      </c>
      <c r="J19" s="268">
        <v>5</v>
      </c>
      <c r="K19" s="270">
        <v>40348</v>
      </c>
      <c r="L19" s="270">
        <v>17789</v>
      </c>
      <c r="M19" s="285">
        <f t="shared" si="8"/>
        <v>22559</v>
      </c>
      <c r="N19" s="272">
        <v>1</v>
      </c>
      <c r="O19" s="273">
        <f t="shared" si="1"/>
        <v>7418.41</v>
      </c>
      <c r="P19" s="274">
        <f t="shared" si="2"/>
        <v>4006.5822784810125</v>
      </c>
      <c r="Q19" s="274">
        <f t="shared" si="3"/>
        <v>8342.0180722891564</v>
      </c>
      <c r="R19" s="275">
        <f t="shared" si="4"/>
        <v>690.08720930232562</v>
      </c>
      <c r="S19" s="276">
        <f t="shared" si="5"/>
        <v>20457.097560072492</v>
      </c>
      <c r="T19" s="277">
        <v>20457</v>
      </c>
      <c r="U19" s="278">
        <f t="shared" si="9"/>
        <v>2381.0975600724923</v>
      </c>
      <c r="V19" s="279">
        <f t="shared" si="10"/>
        <v>13.172701704317838</v>
      </c>
      <c r="W19" s="280">
        <v>18076</v>
      </c>
      <c r="X19" s="179"/>
      <c r="Y19" s="300"/>
      <c r="Z19" s="140"/>
    </row>
    <row r="20" spans="1:26">
      <c r="A20" s="259">
        <v>1</v>
      </c>
      <c r="B20" s="260">
        <v>15</v>
      </c>
      <c r="C20" s="297" t="s">
        <v>115</v>
      </c>
      <c r="D20" s="299">
        <v>9</v>
      </c>
      <c r="E20" s="263">
        <v>7084</v>
      </c>
      <c r="F20" s="264">
        <v>3820</v>
      </c>
      <c r="G20" s="265">
        <f t="shared" si="6"/>
        <v>7.6369282891022019</v>
      </c>
      <c r="H20" s="266">
        <f t="shared" si="7"/>
        <v>14.162303664921467</v>
      </c>
      <c r="I20" s="271">
        <v>541</v>
      </c>
      <c r="J20" s="268">
        <v>3</v>
      </c>
      <c r="K20" s="293">
        <v>54264</v>
      </c>
      <c r="L20" s="270">
        <v>17437</v>
      </c>
      <c r="M20" s="267">
        <f t="shared" si="8"/>
        <v>36827</v>
      </c>
      <c r="N20" s="294">
        <v>3</v>
      </c>
      <c r="O20" s="273">
        <f t="shared" si="1"/>
        <v>7418.41</v>
      </c>
      <c r="P20" s="274">
        <f t="shared" si="2"/>
        <v>3004.9367088607596</v>
      </c>
      <c r="Q20" s="274">
        <f t="shared" si="3"/>
        <v>5005.2108433734938</v>
      </c>
      <c r="R20" s="275">
        <f t="shared" si="4"/>
        <v>2070.2616279069766</v>
      </c>
      <c r="S20" s="276">
        <f t="shared" si="5"/>
        <v>17498.819180141229</v>
      </c>
      <c r="T20" s="277">
        <v>17499</v>
      </c>
      <c r="U20" s="301">
        <f t="shared" si="9"/>
        <v>3607.8191801412286</v>
      </c>
      <c r="V20" s="302">
        <f t="shared" si="10"/>
        <v>25.972350299771279</v>
      </c>
      <c r="W20" s="280">
        <v>13891</v>
      </c>
      <c r="X20" s="179"/>
      <c r="Y20" s="179"/>
      <c r="Z20" s="140"/>
    </row>
    <row r="21" spans="1:26" ht="12" thickBot="1">
      <c r="A21" s="303">
        <v>1</v>
      </c>
      <c r="B21" s="304">
        <v>16</v>
      </c>
      <c r="C21" s="305" t="s">
        <v>116</v>
      </c>
      <c r="D21" s="306">
        <v>8</v>
      </c>
      <c r="E21" s="307">
        <v>679</v>
      </c>
      <c r="F21" s="308">
        <v>534</v>
      </c>
      <c r="G21" s="309">
        <f t="shared" si="6"/>
        <v>21.649484536082475</v>
      </c>
      <c r="H21" s="310">
        <f t="shared" si="7"/>
        <v>27.528089887640451</v>
      </c>
      <c r="I21" s="311">
        <v>147</v>
      </c>
      <c r="J21" s="312">
        <v>1</v>
      </c>
      <c r="K21" s="313">
        <v>28037</v>
      </c>
      <c r="L21" s="314">
        <v>10771</v>
      </c>
      <c r="M21" s="315">
        <f t="shared" si="8"/>
        <v>17266</v>
      </c>
      <c r="N21" s="316">
        <v>1</v>
      </c>
      <c r="O21" s="317">
        <f t="shared" si="1"/>
        <v>7418.41</v>
      </c>
      <c r="P21" s="318">
        <f t="shared" si="2"/>
        <v>2671.0548523206753</v>
      </c>
      <c r="Q21" s="318">
        <f t="shared" si="3"/>
        <v>1668.4036144578313</v>
      </c>
      <c r="R21" s="319">
        <f t="shared" si="4"/>
        <v>690.08720930232562</v>
      </c>
      <c r="S21" s="320">
        <f t="shared" si="5"/>
        <v>12447.955676080832</v>
      </c>
      <c r="T21" s="321">
        <v>12448</v>
      </c>
      <c r="U21" s="322">
        <f t="shared" si="9"/>
        <v>944.95567608083184</v>
      </c>
      <c r="V21" s="323">
        <f t="shared" si="10"/>
        <v>8.2148628712582088</v>
      </c>
      <c r="W21" s="324">
        <v>11503</v>
      </c>
      <c r="X21" s="179"/>
      <c r="Y21" s="179"/>
      <c r="Z21" s="140"/>
    </row>
    <row r="22" spans="1:26" ht="21.65" customHeight="1" thickBot="1">
      <c r="A22" s="133"/>
      <c r="B22" s="134"/>
      <c r="C22" s="135"/>
      <c r="D22" s="23"/>
      <c r="E22" s="136"/>
      <c r="F22" s="137"/>
      <c r="G22" s="136"/>
      <c r="H22" s="87"/>
      <c r="I22" s="87"/>
      <c r="J22" s="87"/>
      <c r="K22" s="136"/>
      <c r="L22" s="136"/>
      <c r="M22" s="136"/>
      <c r="N22" s="136"/>
      <c r="R22" s="771" t="s">
        <v>54</v>
      </c>
      <c r="S22" s="771"/>
      <c r="T22" s="771"/>
      <c r="U22" s="138">
        <f>SUM(Y6:Y21)</f>
        <v>-542.58008695363969</v>
      </c>
      <c r="V22" s="22"/>
      <c r="W22" s="23"/>
      <c r="X22" s="325">
        <f>SUM(X6:X21)</f>
        <v>-146.04463159674197</v>
      </c>
      <c r="Y22" s="326">
        <f>SUM(Y6:Y21)</f>
        <v>-542.58008695363969</v>
      </c>
    </row>
    <row r="23" spans="1:26" ht="12" thickBot="1">
      <c r="A23" s="133"/>
      <c r="B23" s="134"/>
      <c r="C23" s="135"/>
      <c r="D23" s="23"/>
      <c r="E23" s="136"/>
      <c r="F23" s="137"/>
      <c r="G23" s="136"/>
      <c r="H23" s="87"/>
      <c r="I23" s="87"/>
      <c r="J23" s="87"/>
      <c r="K23" s="136"/>
      <c r="L23" s="136"/>
      <c r="M23" s="136"/>
      <c r="N23" s="136"/>
      <c r="O23" s="136"/>
      <c r="R23" s="772" t="s">
        <v>55</v>
      </c>
      <c r="S23" s="773"/>
      <c r="T23" s="773"/>
      <c r="U23" s="774"/>
      <c r="V23" s="775">
        <f>SUM(X6:X21)</f>
        <v>-146.04463159674197</v>
      </c>
      <c r="W23" s="776"/>
      <c r="X23" s="140"/>
      <c r="Y23" s="173"/>
    </row>
    <row r="24" spans="1:26">
      <c r="A24" s="779" t="s">
        <v>117</v>
      </c>
      <c r="B24" s="779"/>
      <c r="C24" s="779"/>
      <c r="D24" s="779"/>
      <c r="E24" s="327"/>
      <c r="F24" s="327"/>
      <c r="G24" s="328" t="s">
        <v>118</v>
      </c>
      <c r="H24" s="328"/>
      <c r="I24" s="328"/>
      <c r="J24" s="328"/>
      <c r="K24" s="328"/>
      <c r="L24" s="328"/>
      <c r="M24" s="329"/>
      <c r="P24" s="328"/>
      <c r="Q24" s="136"/>
      <c r="R24" s="136"/>
      <c r="S24" s="136"/>
      <c r="T24" s="330"/>
      <c r="U24" s="331"/>
      <c r="V24" s="331"/>
      <c r="W24" s="136"/>
      <c r="X24" s="332"/>
      <c r="Y24" s="173"/>
      <c r="Z24" s="141"/>
    </row>
    <row r="25" spans="1:26">
      <c r="A25" s="333"/>
      <c r="B25" s="334"/>
      <c r="C25" s="335">
        <v>0.3</v>
      </c>
      <c r="D25" s="780">
        <v>7418.41</v>
      </c>
      <c r="E25" s="780"/>
      <c r="F25" s="336"/>
      <c r="G25" s="337" t="s">
        <v>119</v>
      </c>
      <c r="H25" s="337"/>
      <c r="I25" s="337"/>
      <c r="J25" s="337"/>
      <c r="K25" s="337"/>
      <c r="L25" s="337"/>
      <c r="M25" s="164">
        <f>+D25*A5</f>
        <v>118694.56</v>
      </c>
      <c r="O25" s="10">
        <f>E29*0.3</f>
        <v>118695</v>
      </c>
      <c r="P25" s="338">
        <f>+O25/16</f>
        <v>7418.4375</v>
      </c>
      <c r="Q25" s="339"/>
      <c r="R25" s="136"/>
      <c r="S25" s="136"/>
      <c r="T25" s="330"/>
      <c r="U25" s="331"/>
      <c r="V25" s="331"/>
      <c r="X25" s="22"/>
      <c r="Z25" s="141"/>
    </row>
    <row r="26" spans="1:26" ht="13.15" customHeight="1">
      <c r="A26" s="333"/>
      <c r="B26" s="334"/>
      <c r="C26" s="335">
        <v>0.2</v>
      </c>
      <c r="D26" s="340">
        <v>0.2</v>
      </c>
      <c r="E26" s="341"/>
      <c r="F26" s="341"/>
      <c r="G26" s="337" t="s">
        <v>120</v>
      </c>
      <c r="H26" s="337"/>
      <c r="I26" s="337"/>
      <c r="J26" s="337"/>
      <c r="K26" s="337"/>
      <c r="L26" s="337"/>
      <c r="M26" s="164">
        <f>+(+$E$29)*D26</f>
        <v>79130</v>
      </c>
      <c r="O26" s="829" t="s">
        <v>121</v>
      </c>
      <c r="P26" s="829"/>
      <c r="Q26" s="829"/>
      <c r="R26" s="829"/>
      <c r="S26" s="829"/>
      <c r="T26" s="829"/>
      <c r="U26" s="829"/>
      <c r="V26" s="829"/>
      <c r="W26" s="829"/>
      <c r="X26" s="22"/>
      <c r="Z26" s="141"/>
    </row>
    <row r="27" spans="1:26">
      <c r="A27" s="333"/>
      <c r="C27" s="335">
        <v>0.35</v>
      </c>
      <c r="D27" s="340">
        <v>0.35</v>
      </c>
      <c r="E27" s="341"/>
      <c r="F27" s="341"/>
      <c r="G27" s="337" t="s">
        <v>66</v>
      </c>
      <c r="H27" s="337"/>
      <c r="I27" s="337"/>
      <c r="J27" s="337"/>
      <c r="K27" s="337"/>
      <c r="L27" s="337"/>
      <c r="M27" s="164">
        <f>+(+$E$29)*D27</f>
        <v>138477.5</v>
      </c>
      <c r="O27" s="829"/>
      <c r="P27" s="829"/>
      <c r="Q27" s="829"/>
      <c r="R27" s="829"/>
      <c r="S27" s="829"/>
      <c r="T27" s="829"/>
      <c r="U27" s="829"/>
      <c r="V27" s="829"/>
      <c r="W27" s="829"/>
      <c r="X27" s="22"/>
      <c r="Z27" s="141"/>
    </row>
    <row r="28" spans="1:26" ht="13.15" customHeight="1">
      <c r="A28" s="333"/>
      <c r="C28" s="335">
        <v>0.15</v>
      </c>
      <c r="D28" s="340">
        <v>0.15</v>
      </c>
      <c r="E28" s="341"/>
      <c r="F28" s="341"/>
      <c r="G28" s="337" t="s">
        <v>68</v>
      </c>
      <c r="H28" s="337"/>
      <c r="I28" s="337"/>
      <c r="J28" s="337"/>
      <c r="K28" s="337"/>
      <c r="L28" s="337"/>
      <c r="M28" s="164">
        <f>+(+$E$29)*D28</f>
        <v>59347.5</v>
      </c>
      <c r="O28" s="783" t="s">
        <v>122</v>
      </c>
      <c r="P28" s="783"/>
      <c r="Q28" s="783"/>
      <c r="R28" s="783"/>
      <c r="S28" s="783"/>
      <c r="T28" s="783"/>
      <c r="U28" s="783"/>
      <c r="V28" s="783"/>
      <c r="W28" s="783"/>
      <c r="X28" s="22"/>
      <c r="Z28" s="141"/>
    </row>
    <row r="29" spans="1:26" ht="16.149999999999999" customHeight="1">
      <c r="A29" s="333"/>
      <c r="C29" s="784" t="s">
        <v>123</v>
      </c>
      <c r="D29" s="784"/>
      <c r="E29" s="87">
        <f>'Liidud_1 000 000 €'!E48</f>
        <v>395650</v>
      </c>
      <c r="G29" s="337"/>
      <c r="H29" s="337"/>
      <c r="I29" s="337"/>
      <c r="J29" s="337"/>
      <c r="K29" s="337"/>
      <c r="M29" s="342">
        <f>SUM(M25:M28)</f>
        <v>395649.56</v>
      </c>
      <c r="O29" s="783"/>
      <c r="P29" s="783"/>
      <c r="Q29" s="783"/>
      <c r="R29" s="783"/>
      <c r="S29" s="783"/>
      <c r="T29" s="783"/>
      <c r="U29" s="783"/>
      <c r="V29" s="783"/>
      <c r="W29" s="783"/>
      <c r="X29" s="22"/>
      <c r="Z29" s="141"/>
    </row>
    <row r="30" spans="1:26" ht="35.5" customHeight="1">
      <c r="U30" s="136"/>
      <c r="V30" s="136"/>
      <c r="W30" s="23"/>
      <c r="X30" s="22"/>
    </row>
    <row r="31" spans="1:26">
      <c r="U31" s="136"/>
      <c r="V31" s="136"/>
      <c r="W31" s="23"/>
      <c r="X31" s="22"/>
    </row>
    <row r="32" spans="1:26">
      <c r="C32" s="329" t="s">
        <v>124</v>
      </c>
      <c r="U32" s="136"/>
      <c r="V32" s="136"/>
      <c r="W32" s="23"/>
      <c r="X32" s="22"/>
    </row>
    <row r="33" spans="1:24" s="23" customFormat="1" ht="4.1500000000000004" customHeight="1">
      <c r="B33" s="140"/>
      <c r="C33" s="329"/>
      <c r="D33" s="141"/>
      <c r="E33" s="182"/>
      <c r="F33" s="182"/>
      <c r="G33" s="182"/>
      <c r="H33" s="182"/>
      <c r="M33" s="141"/>
      <c r="T33" s="183"/>
      <c r="U33" s="136"/>
      <c r="V33" s="136"/>
      <c r="X33" s="22"/>
    </row>
    <row r="34" spans="1:24" s="23" customFormat="1" ht="12">
      <c r="B34" s="140"/>
      <c r="C34" s="329" t="s">
        <v>125</v>
      </c>
      <c r="D34" s="141"/>
      <c r="E34" s="182"/>
      <c r="F34" s="786" t="s">
        <v>126</v>
      </c>
      <c r="G34" s="786"/>
      <c r="H34" s="786"/>
      <c r="I34" s="786"/>
      <c r="J34" s="786"/>
      <c r="K34" s="329" t="s">
        <v>127</v>
      </c>
      <c r="M34" s="141"/>
      <c r="O34" s="787" t="s">
        <v>79</v>
      </c>
      <c r="P34" s="788"/>
      <c r="Q34" s="789"/>
      <c r="R34" s="777"/>
      <c r="S34" s="777"/>
      <c r="T34" s="343"/>
      <c r="U34" s="136"/>
      <c r="W34" s="344"/>
      <c r="X34" s="345"/>
    </row>
    <row r="35" spans="1:24" s="23" customFormat="1" ht="12">
      <c r="A35" s="333"/>
      <c r="B35" s="334"/>
      <c r="C35" s="346" t="s">
        <v>128</v>
      </c>
      <c r="D35" s="347" t="s">
        <v>129</v>
      </c>
      <c r="E35" s="344" t="s">
        <v>80</v>
      </c>
      <c r="F35" s="344"/>
      <c r="G35" s="348"/>
      <c r="H35" s="349" t="s">
        <v>80</v>
      </c>
      <c r="I35" s="349" t="s">
        <v>81</v>
      </c>
      <c r="J35" s="350"/>
      <c r="K35" s="351" t="s">
        <v>130</v>
      </c>
      <c r="L35" s="352" t="s">
        <v>129</v>
      </c>
      <c r="M35" s="344" t="s">
        <v>80</v>
      </c>
      <c r="N35" s="344"/>
      <c r="O35" s="348"/>
      <c r="P35" s="349" t="s">
        <v>80</v>
      </c>
      <c r="Q35" s="349" t="s">
        <v>81</v>
      </c>
      <c r="R35" s="182"/>
      <c r="S35" s="344"/>
      <c r="T35" s="343"/>
      <c r="U35" s="136"/>
      <c r="V35" s="353"/>
      <c r="W35" s="344"/>
      <c r="X35" s="345"/>
    </row>
    <row r="36" spans="1:24" s="23" customFormat="1" ht="12.5" thickBot="1">
      <c r="A36" s="333"/>
      <c r="B36" s="334"/>
      <c r="C36" s="354">
        <v>147</v>
      </c>
      <c r="D36" s="340">
        <f>LOG10(C36)</f>
        <v>2.167317334748176</v>
      </c>
      <c r="E36" s="355">
        <f>+D36</f>
        <v>2.167317334748176</v>
      </c>
      <c r="F36" s="355"/>
      <c r="G36" s="356"/>
      <c r="H36" s="357">
        <f>POWER(10,E36)</f>
        <v>147.00000000000009</v>
      </c>
      <c r="I36" s="358">
        <v>1</v>
      </c>
      <c r="J36" s="350"/>
      <c r="K36" s="366">
        <v>17266</v>
      </c>
      <c r="L36" s="355">
        <f>LOG10(K36)</f>
        <v>4.2371917365751388</v>
      </c>
      <c r="M36" s="340">
        <f>+L36</f>
        <v>4.2371917365751388</v>
      </c>
      <c r="N36" s="355"/>
      <c r="O36" s="359"/>
      <c r="P36" s="172">
        <f t="shared" ref="P36:P46" si="11">POWER(10,M36)</f>
        <v>17266.000000000029</v>
      </c>
      <c r="Q36" s="172">
        <v>1</v>
      </c>
      <c r="R36" s="87"/>
      <c r="S36" s="87"/>
      <c r="T36" s="360"/>
      <c r="U36" s="136"/>
      <c r="V36" s="164"/>
      <c r="W36" s="164"/>
      <c r="X36" s="361"/>
    </row>
    <row r="37" spans="1:24" s="23" customFormat="1" ht="12">
      <c r="A37" s="333"/>
      <c r="B37" s="334"/>
      <c r="C37" s="367">
        <v>294</v>
      </c>
      <c r="D37" s="340">
        <f t="shared" ref="D37:D51" si="12">LOG10(C37)</f>
        <v>2.4683473304121573</v>
      </c>
      <c r="E37" s="355">
        <f>+D37</f>
        <v>2.4683473304121573</v>
      </c>
      <c r="F37" s="355"/>
      <c r="G37" s="182"/>
      <c r="H37" s="357">
        <f t="shared" ref="H37:H46" si="13">POWER(10,E37)</f>
        <v>294.00000000000023</v>
      </c>
      <c r="I37" s="358">
        <v>2</v>
      </c>
      <c r="J37" s="350"/>
      <c r="K37" s="366">
        <v>22559</v>
      </c>
      <c r="L37" s="355">
        <f t="shared" ref="L37:L51" si="14">LOG10(K37)</f>
        <v>4.3533198442427095</v>
      </c>
      <c r="M37" s="340">
        <f>+M36+$L$52</f>
        <v>4.3806198392638809</v>
      </c>
      <c r="N37" s="355"/>
      <c r="O37" s="87"/>
      <c r="P37" s="172">
        <f t="shared" si="11"/>
        <v>24022.590560468947</v>
      </c>
      <c r="Q37" s="172">
        <v>2</v>
      </c>
      <c r="R37" s="87"/>
      <c r="S37" s="87"/>
      <c r="T37" s="360"/>
      <c r="U37" s="136"/>
      <c r="V37" s="164"/>
      <c r="W37" s="164"/>
      <c r="X37" s="361"/>
    </row>
    <row r="38" spans="1:24" s="23" customFormat="1" ht="12">
      <c r="A38" s="333"/>
      <c r="B38" s="334"/>
      <c r="C38" s="285">
        <v>541</v>
      </c>
      <c r="D38" s="340">
        <f t="shared" si="12"/>
        <v>2.7331972651065692</v>
      </c>
      <c r="E38" s="355">
        <f t="shared" ref="E38:E46" si="15">+E37+$D$52</f>
        <v>2.5990788168012049</v>
      </c>
      <c r="F38" s="355"/>
      <c r="G38" s="182"/>
      <c r="H38" s="357">
        <f t="shared" si="13"/>
        <v>397.26363928305267</v>
      </c>
      <c r="I38" s="358">
        <v>3</v>
      </c>
      <c r="J38" s="350"/>
      <c r="K38" s="366">
        <v>25339</v>
      </c>
      <c r="L38" s="355">
        <f t="shared" si="14"/>
        <v>4.4037894715161885</v>
      </c>
      <c r="M38" s="340">
        <f t="shared" ref="M38:M46" si="16">+M37+$L$52</f>
        <v>4.5240479419526229</v>
      </c>
      <c r="N38" s="355"/>
      <c r="O38" s="87"/>
      <c r="P38" s="172">
        <f t="shared" si="11"/>
        <v>33423.193399509546</v>
      </c>
      <c r="Q38" s="172">
        <v>3</v>
      </c>
      <c r="R38" s="87"/>
      <c r="S38" s="87"/>
      <c r="T38" s="360"/>
      <c r="U38" s="136"/>
      <c r="V38" s="164"/>
      <c r="W38" s="164"/>
      <c r="X38" s="361"/>
    </row>
    <row r="39" spans="1:24" s="23" customFormat="1" ht="12">
      <c r="A39" s="333"/>
      <c r="B39" s="334"/>
      <c r="C39" s="285">
        <v>547</v>
      </c>
      <c r="D39" s="340">
        <f t="shared" si="12"/>
        <v>2.7379873263334309</v>
      </c>
      <c r="E39" s="355">
        <f t="shared" si="15"/>
        <v>2.7298103031902525</v>
      </c>
      <c r="F39" s="355"/>
      <c r="G39" s="182"/>
      <c r="H39" s="357">
        <f t="shared" si="13"/>
        <v>536.79727583814713</v>
      </c>
      <c r="I39" s="358">
        <v>4</v>
      </c>
      <c r="J39" s="350"/>
      <c r="K39" s="366">
        <v>36827</v>
      </c>
      <c r="L39" s="355">
        <f t="shared" si="14"/>
        <v>4.5661663418114156</v>
      </c>
      <c r="M39" s="340">
        <f t="shared" si="16"/>
        <v>4.667476044641365</v>
      </c>
      <c r="N39" s="355"/>
      <c r="O39" s="87"/>
      <c r="P39" s="172">
        <f t="shared" si="11"/>
        <v>46502.47250433141</v>
      </c>
      <c r="Q39" s="172">
        <v>4</v>
      </c>
      <c r="R39" s="87"/>
      <c r="S39" s="87"/>
      <c r="T39" s="360"/>
      <c r="U39" s="136"/>
      <c r="V39" s="164"/>
      <c r="W39" s="164"/>
      <c r="X39" s="361"/>
    </row>
    <row r="40" spans="1:24" s="23" customFormat="1" ht="12">
      <c r="A40" s="333"/>
      <c r="B40" s="334"/>
      <c r="C40" s="285">
        <v>583</v>
      </c>
      <c r="D40" s="340">
        <f t="shared" si="12"/>
        <v>2.7656685547590141</v>
      </c>
      <c r="E40" s="355">
        <f t="shared" si="15"/>
        <v>2.8605417895793002</v>
      </c>
      <c r="F40" s="355"/>
      <c r="G40" s="182"/>
      <c r="H40" s="357">
        <f t="shared" si="13"/>
        <v>725.34026992071722</v>
      </c>
      <c r="I40" s="358">
        <v>5</v>
      </c>
      <c r="J40" s="136"/>
      <c r="K40" s="366">
        <v>38216</v>
      </c>
      <c r="L40" s="355">
        <f t="shared" si="14"/>
        <v>4.5822452282752977</v>
      </c>
      <c r="M40" s="340">
        <f t="shared" si="16"/>
        <v>4.8109041473301071</v>
      </c>
      <c r="N40" s="355"/>
      <c r="O40" s="17"/>
      <c r="P40" s="172">
        <f t="shared" si="11"/>
        <v>64699.980135585472</v>
      </c>
      <c r="Q40" s="172">
        <v>5</v>
      </c>
      <c r="R40" s="87"/>
      <c r="S40" s="87"/>
      <c r="T40" s="360"/>
      <c r="U40" s="136"/>
      <c r="V40" s="164"/>
      <c r="W40" s="164"/>
      <c r="X40" s="361"/>
    </row>
    <row r="41" spans="1:24" s="23" customFormat="1" ht="12">
      <c r="A41" s="333"/>
      <c r="B41" s="334"/>
      <c r="C41" s="285">
        <v>634</v>
      </c>
      <c r="D41" s="340">
        <f t="shared" si="12"/>
        <v>2.8020892578817329</v>
      </c>
      <c r="E41" s="355">
        <f t="shared" si="15"/>
        <v>2.9912732759683478</v>
      </c>
      <c r="F41" s="355"/>
      <c r="G41" s="182"/>
      <c r="H41" s="357">
        <f t="shared" si="13"/>
        <v>980.10651478658383</v>
      </c>
      <c r="I41" s="358">
        <v>6</v>
      </c>
      <c r="J41" s="136"/>
      <c r="K41" s="366">
        <v>41372</v>
      </c>
      <c r="L41" s="355">
        <f t="shared" si="14"/>
        <v>4.6167065160119938</v>
      </c>
      <c r="M41" s="340">
        <f t="shared" si="16"/>
        <v>4.9543322500188491</v>
      </c>
      <c r="N41" s="355"/>
      <c r="O41" s="87"/>
      <c r="P41" s="172">
        <f t="shared" si="11"/>
        <v>90018.59910040781</v>
      </c>
      <c r="Q41" s="172">
        <v>6</v>
      </c>
      <c r="R41" s="87"/>
      <c r="S41" s="87"/>
      <c r="T41" s="360"/>
      <c r="U41" s="136"/>
      <c r="V41" s="164"/>
      <c r="W41" s="164"/>
      <c r="X41" s="361"/>
    </row>
    <row r="42" spans="1:24" s="23" customFormat="1" ht="12">
      <c r="A42" s="333"/>
      <c r="B42" s="334"/>
      <c r="C42" s="285">
        <v>684</v>
      </c>
      <c r="D42" s="340">
        <f t="shared" si="12"/>
        <v>2.8350561017201161</v>
      </c>
      <c r="E42" s="355">
        <f t="shared" si="15"/>
        <v>3.1220047623573954</v>
      </c>
      <c r="F42" s="355"/>
      <c r="G42" s="182"/>
      <c r="H42" s="357">
        <f t="shared" si="13"/>
        <v>1324.35605765016</v>
      </c>
      <c r="I42" s="358">
        <v>7</v>
      </c>
      <c r="J42" s="136"/>
      <c r="K42" s="366">
        <v>51847</v>
      </c>
      <c r="L42" s="355">
        <f t="shared" si="14"/>
        <v>4.7147236320627828</v>
      </c>
      <c r="M42" s="340">
        <f t="shared" si="16"/>
        <v>5.0977603527075912</v>
      </c>
      <c r="N42" s="355"/>
      <c r="O42" s="87"/>
      <c r="P42" s="172">
        <f t="shared" si="11"/>
        <v>125244.98720121021</v>
      </c>
      <c r="Q42" s="172">
        <v>7</v>
      </c>
      <c r="R42" s="87"/>
      <c r="S42" s="87"/>
      <c r="T42" s="360"/>
      <c r="U42" s="136"/>
      <c r="V42" s="164"/>
      <c r="W42" s="164"/>
      <c r="X42" s="361"/>
    </row>
    <row r="43" spans="1:24" s="23" customFormat="1" ht="12">
      <c r="B43" s="140"/>
      <c r="C43" s="285">
        <v>722</v>
      </c>
      <c r="D43" s="340">
        <f t="shared" si="12"/>
        <v>2.858537197569639</v>
      </c>
      <c r="E43" s="355">
        <f t="shared" si="15"/>
        <v>3.2527362487464431</v>
      </c>
      <c r="F43" s="355"/>
      <c r="G43" s="182"/>
      <c r="H43" s="357">
        <f t="shared" si="13"/>
        <v>1789.5187318661854</v>
      </c>
      <c r="I43" s="358">
        <v>8</v>
      </c>
      <c r="K43" s="366">
        <v>67683</v>
      </c>
      <c r="L43" s="355">
        <f t="shared" si="14"/>
        <v>4.830479600246254</v>
      </c>
      <c r="M43" s="340">
        <f t="shared" si="16"/>
        <v>5.2411884553963333</v>
      </c>
      <c r="N43" s="355"/>
      <c r="P43" s="172">
        <f t="shared" si="11"/>
        <v>174256.28676507858</v>
      </c>
      <c r="Q43" s="172">
        <v>8</v>
      </c>
      <c r="R43" s="87"/>
      <c r="S43" s="87"/>
      <c r="T43" s="360"/>
      <c r="V43" s="164"/>
      <c r="W43" s="164"/>
      <c r="X43" s="361"/>
    </row>
    <row r="44" spans="1:24" s="23" customFormat="1" ht="12">
      <c r="B44" s="140"/>
      <c r="C44" s="285">
        <v>740</v>
      </c>
      <c r="D44" s="340">
        <f t="shared" si="12"/>
        <v>2.8692317197309762</v>
      </c>
      <c r="E44" s="355">
        <f t="shared" si="15"/>
        <v>3.3834677351354907</v>
      </c>
      <c r="F44" s="355"/>
      <c r="G44" s="182"/>
      <c r="H44" s="357">
        <f t="shared" si="13"/>
        <v>2418.0636870284116</v>
      </c>
      <c r="I44" s="358">
        <v>9</v>
      </c>
      <c r="K44" s="366">
        <v>74842</v>
      </c>
      <c r="L44" s="355">
        <f t="shared" si="14"/>
        <v>4.8741453846184326</v>
      </c>
      <c r="M44" s="340">
        <f t="shared" si="16"/>
        <v>5.3846165580850753</v>
      </c>
      <c r="N44" s="355"/>
      <c r="P44" s="172">
        <f t="shared" si="11"/>
        <v>242446.85680210515</v>
      </c>
      <c r="Q44" s="172">
        <v>9</v>
      </c>
      <c r="R44" s="87"/>
      <c r="S44" s="87"/>
      <c r="T44" s="360"/>
      <c r="V44" s="164"/>
      <c r="W44" s="164"/>
      <c r="X44" s="361"/>
    </row>
    <row r="45" spans="1:24" s="23" customFormat="1" ht="12">
      <c r="B45" s="140"/>
      <c r="C45" s="285">
        <v>883</v>
      </c>
      <c r="D45" s="340">
        <f t="shared" si="12"/>
        <v>2.9459607035775686</v>
      </c>
      <c r="E45" s="355">
        <f>+E44+$D$52</f>
        <v>3.5141992215245383</v>
      </c>
      <c r="F45" s="355"/>
      <c r="G45" s="182"/>
      <c r="H45" s="357">
        <f t="shared" si="13"/>
        <v>3267.3768038336816</v>
      </c>
      <c r="I45" s="358">
        <v>10</v>
      </c>
      <c r="K45" s="366">
        <v>112796</v>
      </c>
      <c r="L45" s="355">
        <f t="shared" si="14"/>
        <v>5.0522936988607157</v>
      </c>
      <c r="M45" s="340">
        <f t="shared" si="16"/>
        <v>5.5280446607738174</v>
      </c>
      <c r="N45" s="355"/>
      <c r="P45" s="172">
        <f t="shared" si="11"/>
        <v>337321.99546099955</v>
      </c>
      <c r="Q45" s="172">
        <v>10</v>
      </c>
      <c r="R45" s="164"/>
      <c r="S45" s="164"/>
      <c r="T45" s="362"/>
      <c r="V45" s="164"/>
      <c r="W45" s="164"/>
      <c r="X45" s="361"/>
    </row>
    <row r="46" spans="1:24" s="23" customFormat="1" ht="12">
      <c r="B46" s="140"/>
      <c r="C46" s="285">
        <v>1235</v>
      </c>
      <c r="D46" s="340">
        <f t="shared" si="12"/>
        <v>3.0916669575956846</v>
      </c>
      <c r="E46" s="355">
        <f t="shared" si="15"/>
        <v>3.644930707913586</v>
      </c>
      <c r="F46" s="355"/>
      <c r="G46" s="182"/>
      <c r="H46" s="357">
        <f t="shared" si="13"/>
        <v>4414.9999999999873</v>
      </c>
      <c r="I46" s="358">
        <v>10</v>
      </c>
      <c r="K46" s="366">
        <v>130508</v>
      </c>
      <c r="L46" s="355">
        <f t="shared" si="14"/>
        <v>5.115637134274805</v>
      </c>
      <c r="M46" s="340">
        <f t="shared" si="16"/>
        <v>5.6714727634625595</v>
      </c>
      <c r="N46" s="355"/>
      <c r="P46" s="172">
        <f t="shared" si="11"/>
        <v>469323.99999999674</v>
      </c>
      <c r="Q46" s="172">
        <v>10</v>
      </c>
      <c r="R46" s="164"/>
      <c r="S46" s="164"/>
      <c r="T46" s="362"/>
      <c r="V46" s="164"/>
      <c r="W46" s="164"/>
      <c r="X46" s="361"/>
    </row>
    <row r="47" spans="1:24" s="23" customFormat="1" ht="12">
      <c r="B47" s="140"/>
      <c r="C47" s="285">
        <v>1241</v>
      </c>
      <c r="D47" s="340">
        <f t="shared" si="12"/>
        <v>3.09377178149873</v>
      </c>
      <c r="E47" s="182"/>
      <c r="F47" s="355"/>
      <c r="G47" s="182"/>
      <c r="H47" s="182"/>
      <c r="I47" s="357"/>
      <c r="K47" s="366">
        <v>173652</v>
      </c>
      <c r="L47" s="355">
        <f t="shared" si="14"/>
        <v>5.2396797895699709</v>
      </c>
      <c r="M47" s="141"/>
      <c r="N47" s="355"/>
      <c r="P47" s="172"/>
      <c r="R47" s="164"/>
      <c r="S47" s="164"/>
      <c r="T47" s="362"/>
      <c r="V47" s="164"/>
      <c r="W47" s="164"/>
      <c r="X47" s="361"/>
    </row>
    <row r="48" spans="1:24" s="23" customFormat="1" ht="12">
      <c r="B48" s="140"/>
      <c r="C48" s="285">
        <v>1917</v>
      </c>
      <c r="D48" s="340">
        <f t="shared" si="12"/>
        <v>3.2826221128780624</v>
      </c>
      <c r="E48" s="182"/>
      <c r="F48" s="355"/>
      <c r="G48" s="182"/>
      <c r="H48" s="182"/>
      <c r="I48" s="357"/>
      <c r="K48" s="366">
        <v>178136</v>
      </c>
      <c r="L48" s="355">
        <f t="shared" si="14"/>
        <v>5.2507516961135634</v>
      </c>
      <c r="M48" s="141"/>
      <c r="N48" s="355"/>
      <c r="P48" s="172"/>
      <c r="R48" s="164"/>
      <c r="S48" s="164"/>
      <c r="T48" s="362"/>
      <c r="V48" s="164"/>
      <c r="W48" s="164"/>
      <c r="X48" s="361"/>
    </row>
    <row r="49" spans="2:24" s="23" customFormat="1" ht="12">
      <c r="B49" s="140"/>
      <c r="C49" s="285">
        <v>2612</v>
      </c>
      <c r="D49" s="340">
        <f t="shared" si="12"/>
        <v>3.4169731726030363</v>
      </c>
      <c r="F49" s="355"/>
      <c r="I49" s="357"/>
      <c r="K49" s="366">
        <v>214373</v>
      </c>
      <c r="L49" s="355">
        <f t="shared" si="14"/>
        <v>5.3311700856410003</v>
      </c>
      <c r="M49" s="141"/>
      <c r="N49" s="355"/>
      <c r="P49" s="172"/>
      <c r="R49" s="164"/>
      <c r="S49" s="164"/>
      <c r="T49" s="362"/>
      <c r="V49" s="164"/>
      <c r="W49" s="164"/>
      <c r="X49" s="361"/>
    </row>
    <row r="50" spans="2:24" s="23" customFormat="1" ht="12">
      <c r="B50" s="140"/>
      <c r="C50" s="285">
        <v>3068</v>
      </c>
      <c r="D50" s="340">
        <f t="shared" si="12"/>
        <v>3.4868553552769432</v>
      </c>
      <c r="E50" s="182"/>
      <c r="F50" s="355"/>
      <c r="G50" s="182"/>
      <c r="H50" s="182"/>
      <c r="I50" s="357"/>
      <c r="K50" s="366">
        <v>279398</v>
      </c>
      <c r="L50" s="355">
        <f t="shared" si="14"/>
        <v>5.446223293001955</v>
      </c>
      <c r="M50" s="141"/>
      <c r="N50" s="355"/>
      <c r="P50" s="172"/>
      <c r="R50" s="164"/>
      <c r="S50" s="164"/>
      <c r="T50" s="362"/>
      <c r="V50" s="164"/>
      <c r="W50" s="164"/>
      <c r="X50" s="361"/>
    </row>
    <row r="51" spans="2:24" s="23" customFormat="1" ht="12.5" thickBot="1">
      <c r="B51" s="140"/>
      <c r="C51" s="285">
        <v>4415</v>
      </c>
      <c r="D51" s="340">
        <f t="shared" si="12"/>
        <v>3.6449307079135873</v>
      </c>
      <c r="E51" s="182"/>
      <c r="F51" s="355"/>
      <c r="G51" s="182"/>
      <c r="H51" s="182"/>
      <c r="I51" s="357"/>
      <c r="K51" s="366">
        <v>469324</v>
      </c>
      <c r="L51" s="355">
        <f t="shared" si="14"/>
        <v>5.671472763462563</v>
      </c>
      <c r="M51" s="141"/>
      <c r="N51" s="355"/>
      <c r="P51" s="172"/>
      <c r="R51" s="164"/>
      <c r="S51" s="164"/>
      <c r="T51" s="362"/>
      <c r="V51" s="164"/>
      <c r="W51" s="164"/>
      <c r="X51" s="361"/>
    </row>
    <row r="52" spans="2:24" s="183" customFormat="1" ht="12.5" thickBot="1">
      <c r="B52" s="368"/>
      <c r="C52" s="369" t="s">
        <v>82</v>
      </c>
      <c r="D52" s="375">
        <f>+(D51-D37)/9</f>
        <v>0.13073148638904777</v>
      </c>
      <c r="E52" s="370" t="s">
        <v>82</v>
      </c>
      <c r="F52" s="371"/>
      <c r="G52" s="372"/>
      <c r="H52" s="372"/>
      <c r="I52" s="373"/>
      <c r="L52" s="375">
        <f>+(L51-L36)/10</f>
        <v>0.14342810268874243</v>
      </c>
      <c r="M52" s="370" t="s">
        <v>82</v>
      </c>
      <c r="N52" s="371"/>
      <c r="P52" s="374"/>
      <c r="W52" s="237"/>
      <c r="X52" s="236"/>
    </row>
    <row r="53" spans="2:24" s="23" customFormat="1">
      <c r="B53" s="140"/>
      <c r="C53" s="363"/>
      <c r="D53" s="364"/>
      <c r="E53" s="182"/>
      <c r="F53" s="355"/>
      <c r="G53" s="182"/>
      <c r="H53" s="182"/>
      <c r="I53" s="357"/>
      <c r="L53" s="364"/>
      <c r="M53" s="141"/>
      <c r="N53" s="355"/>
      <c r="P53" s="172"/>
      <c r="T53" s="183"/>
      <c r="W53" s="141"/>
      <c r="X53" s="365"/>
    </row>
    <row r="54" spans="2:24" s="23" customFormat="1">
      <c r="B54" s="140"/>
      <c r="D54" s="141"/>
      <c r="E54" s="182"/>
      <c r="F54" s="355"/>
      <c r="G54" s="182"/>
      <c r="H54" s="182"/>
      <c r="I54" s="357"/>
      <c r="M54" s="141"/>
      <c r="N54" s="355"/>
      <c r="P54" s="172"/>
      <c r="T54" s="183"/>
      <c r="W54" s="141"/>
      <c r="X54" s="365"/>
    </row>
    <row r="55" spans="2:24" s="23" customFormat="1">
      <c r="B55" s="140"/>
      <c r="D55" s="141"/>
      <c r="E55" s="182"/>
      <c r="F55" s="355"/>
      <c r="G55" s="182"/>
      <c r="H55" s="182"/>
      <c r="I55" s="357"/>
      <c r="M55" s="141"/>
      <c r="N55" s="355"/>
      <c r="P55" s="172"/>
      <c r="T55" s="183"/>
      <c r="W55" s="141"/>
      <c r="X55" s="365"/>
    </row>
    <row r="56" spans="2:24" s="23" customFormat="1">
      <c r="B56" s="140"/>
      <c r="D56" s="141"/>
      <c r="E56" s="182"/>
      <c r="F56" s="355"/>
      <c r="G56" s="182"/>
      <c r="H56" s="182"/>
      <c r="I56" s="357"/>
      <c r="M56" s="141"/>
      <c r="N56" s="355"/>
      <c r="P56" s="172"/>
      <c r="T56" s="183"/>
      <c r="W56" s="141"/>
      <c r="X56" s="365"/>
    </row>
  </sheetData>
  <mergeCells count="14">
    <mergeCell ref="F34:J34"/>
    <mergeCell ref="O34:Q34"/>
    <mergeCell ref="R34:S34"/>
    <mergeCell ref="U2:W2"/>
    <mergeCell ref="G3:H3"/>
    <mergeCell ref="U4:V4"/>
    <mergeCell ref="R22:T22"/>
    <mergeCell ref="R23:U23"/>
    <mergeCell ref="V23:W23"/>
    <mergeCell ref="D25:E25"/>
    <mergeCell ref="O26:W27"/>
    <mergeCell ref="O28:W29"/>
    <mergeCell ref="C29:D29"/>
    <mergeCell ref="A24:D24"/>
  </mergeCells>
  <pageMargins left="3.937007874015748E-2" right="3.937007874015748E-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T41"/>
  <sheetViews>
    <sheetView tabSelected="1" topLeftCell="B10" zoomScale="84" zoomScaleNormal="84" workbookViewId="0">
      <selection activeCell="K15" sqref="K15"/>
    </sheetView>
  </sheetViews>
  <sheetFormatPr defaultRowHeight="14.5"/>
  <cols>
    <col min="1" max="2" width="4.1796875" customWidth="1"/>
    <col min="3" max="3" width="7.54296875" customWidth="1"/>
    <col min="4" max="4" width="33.81640625" style="717" customWidth="1"/>
    <col min="5" max="5" width="11.453125" customWidth="1"/>
    <col min="6" max="6" width="9.81640625" customWidth="1"/>
    <col min="8" max="8" width="8.7265625" style="738"/>
    <col min="10" max="10" width="11.36328125" customWidth="1"/>
    <col min="12" max="12" width="12.08984375" customWidth="1"/>
    <col min="13" max="13" width="9.453125" customWidth="1"/>
    <col min="14" max="14" width="10.453125" customWidth="1"/>
    <col min="19" max="19" width="14.54296875" customWidth="1"/>
  </cols>
  <sheetData>
    <row r="1" spans="3:14">
      <c r="I1" s="736" t="s">
        <v>196</v>
      </c>
    </row>
    <row r="2" spans="3:14">
      <c r="I2" s="736" t="s">
        <v>297</v>
      </c>
    </row>
    <row r="3" spans="3:14" ht="20">
      <c r="C3" s="512" t="s">
        <v>298</v>
      </c>
      <c r="D3" s="582"/>
      <c r="E3" s="515"/>
      <c r="F3" s="515"/>
      <c r="G3" s="515"/>
      <c r="H3" s="515"/>
      <c r="I3" s="578" t="s">
        <v>304</v>
      </c>
    </row>
    <row r="4" spans="3:14">
      <c r="C4" s="585" t="s">
        <v>197</v>
      </c>
      <c r="D4" s="706"/>
      <c r="E4" s="586"/>
      <c r="F4" s="586"/>
      <c r="G4" s="586"/>
      <c r="H4" s="586"/>
      <c r="I4" s="586"/>
    </row>
    <row r="5" spans="3:14">
      <c r="C5" s="585" t="s">
        <v>198</v>
      </c>
      <c r="D5" s="707"/>
      <c r="E5" s="580"/>
      <c r="F5" s="580"/>
      <c r="G5" s="580"/>
      <c r="H5" s="580"/>
      <c r="I5" s="580"/>
    </row>
    <row r="6" spans="3:14">
      <c r="C6" s="519"/>
      <c r="D6" s="707"/>
      <c r="E6" s="580"/>
      <c r="F6" s="580"/>
      <c r="G6" s="580"/>
      <c r="H6" s="580"/>
      <c r="I6" s="580"/>
    </row>
    <row r="7" spans="3:14">
      <c r="C7" s="587" t="s">
        <v>199</v>
      </c>
      <c r="D7" s="708"/>
      <c r="E7" s="703" t="s">
        <v>200</v>
      </c>
      <c r="F7" s="704"/>
      <c r="G7" s="704"/>
      <c r="H7" s="704"/>
      <c r="I7" s="749"/>
      <c r="N7" s="743"/>
    </row>
    <row r="8" spans="3:14" ht="65">
      <c r="C8" s="700" t="s">
        <v>229</v>
      </c>
      <c r="D8" s="709" t="s">
        <v>203</v>
      </c>
      <c r="E8" s="701" t="s">
        <v>284</v>
      </c>
      <c r="F8" s="701" t="s">
        <v>286</v>
      </c>
      <c r="G8" s="705" t="s">
        <v>300</v>
      </c>
      <c r="H8" s="705" t="s">
        <v>292</v>
      </c>
      <c r="I8" s="750" t="s">
        <v>232</v>
      </c>
    </row>
    <row r="9" spans="3:14">
      <c r="C9" s="597"/>
      <c r="D9" s="598"/>
      <c r="E9" s="599"/>
      <c r="F9" s="600"/>
      <c r="G9" s="601"/>
      <c r="H9" s="739"/>
      <c r="I9" s="600"/>
      <c r="L9" s="730"/>
      <c r="N9" s="730"/>
    </row>
    <row r="10" spans="3:14">
      <c r="C10" s="603"/>
      <c r="D10" s="710" t="s">
        <v>205</v>
      </c>
      <c r="E10" s="605">
        <f>+F10+G10+I10+H10</f>
        <v>1550147</v>
      </c>
      <c r="F10" s="605">
        <f>+F11+F14+F15</f>
        <v>1445459</v>
      </c>
      <c r="G10" s="752">
        <f>+G11+G14+G15</f>
        <v>0</v>
      </c>
      <c r="H10" s="605">
        <f>SUM(H11:H16)</f>
        <v>50147</v>
      </c>
      <c r="I10" s="605">
        <f>+I11+I14+I15</f>
        <v>54541</v>
      </c>
      <c r="L10" s="730"/>
      <c r="M10" s="730"/>
    </row>
    <row r="11" spans="3:14">
      <c r="C11" s="609">
        <v>3500</v>
      </c>
      <c r="D11" s="708" t="s">
        <v>206</v>
      </c>
      <c r="E11" s="588">
        <f>SUM(E12:E12)</f>
        <v>1500000</v>
      </c>
      <c r="F11" s="588">
        <f>SUM(F12:F12)</f>
        <v>1445459</v>
      </c>
      <c r="G11" s="588">
        <f>SUM(G12:G12)</f>
        <v>0</v>
      </c>
      <c r="H11" s="588"/>
      <c r="I11" s="588">
        <f>SUM(I12:I12)</f>
        <v>54541</v>
      </c>
      <c r="L11" s="741"/>
    </row>
    <row r="12" spans="3:14">
      <c r="C12" s="611">
        <v>350000</v>
      </c>
      <c r="D12" s="711" t="s">
        <v>289</v>
      </c>
      <c r="E12" s="744">
        <f>F12+I12</f>
        <v>1500000</v>
      </c>
      <c r="F12" s="613">
        <v>1445459</v>
      </c>
      <c r="G12" s="613">
        <v>0</v>
      </c>
      <c r="H12" s="613"/>
      <c r="I12" s="613">
        <v>54541</v>
      </c>
    </row>
    <row r="13" spans="3:14">
      <c r="C13" s="611">
        <v>350020</v>
      </c>
      <c r="D13" s="711" t="s">
        <v>293</v>
      </c>
      <c r="E13" s="745">
        <f>F13+I13+H13</f>
        <v>50147</v>
      </c>
      <c r="F13" s="613"/>
      <c r="G13" s="613">
        <v>0</v>
      </c>
      <c r="H13" s="613">
        <v>50147</v>
      </c>
      <c r="I13" s="613"/>
    </row>
    <row r="14" spans="3:14">
      <c r="C14" s="702"/>
      <c r="D14" s="712"/>
      <c r="E14" s="682"/>
      <c r="F14" s="587"/>
      <c r="G14" s="729">
        <v>0</v>
      </c>
      <c r="H14" s="729"/>
      <c r="I14" s="587"/>
    </row>
    <row r="15" spans="3:14">
      <c r="C15" s="615"/>
      <c r="D15" s="713"/>
      <c r="E15" s="682"/>
      <c r="F15" s="588"/>
      <c r="G15" s="613">
        <v>0</v>
      </c>
      <c r="H15" s="613"/>
      <c r="I15" s="613"/>
      <c r="K15" s="742"/>
      <c r="L15" s="742"/>
      <c r="N15" s="730"/>
    </row>
    <row r="16" spans="3:14">
      <c r="C16" s="619"/>
      <c r="D16" s="714"/>
      <c r="E16" s="620"/>
      <c r="F16" s="620"/>
      <c r="G16" s="620"/>
      <c r="H16" s="620"/>
      <c r="I16" s="620"/>
    </row>
    <row r="17" spans="3:20">
      <c r="C17" s="622"/>
      <c r="D17" s="710" t="s">
        <v>211</v>
      </c>
      <c r="E17" s="623">
        <f>+E18+E20</f>
        <v>1566086.7</v>
      </c>
      <c r="F17" s="623">
        <f>+F18+F20</f>
        <v>1445459</v>
      </c>
      <c r="G17" s="623">
        <f>+G18+G20</f>
        <v>15939.7</v>
      </c>
      <c r="H17" s="623">
        <f>+H18+H20</f>
        <v>50147</v>
      </c>
      <c r="I17" s="623">
        <f>+I18+I20</f>
        <v>54541</v>
      </c>
    </row>
    <row r="18" spans="3:20" ht="35.25" customHeight="1">
      <c r="C18" s="615">
        <v>4500</v>
      </c>
      <c r="D18" s="712" t="s">
        <v>236</v>
      </c>
      <c r="E18" s="588">
        <f>SUM(E19:E19)</f>
        <v>1445459</v>
      </c>
      <c r="F18" s="588">
        <f>SUM(F19:F19)</f>
        <v>1445459</v>
      </c>
      <c r="G18" s="588">
        <f>SUM(G19:G19)</f>
        <v>0</v>
      </c>
      <c r="H18" s="588">
        <v>0</v>
      </c>
      <c r="I18" s="588">
        <f>SUM(I19:I19)</f>
        <v>0</v>
      </c>
    </row>
    <row r="19" spans="3:20" ht="36" customHeight="1">
      <c r="C19" s="624">
        <v>450010</v>
      </c>
      <c r="D19" s="715" t="s">
        <v>295</v>
      </c>
      <c r="E19" s="733">
        <f>+F19+G19+I19</f>
        <v>1445459</v>
      </c>
      <c r="F19" s="613">
        <v>1445459</v>
      </c>
      <c r="G19" s="733">
        <v>0</v>
      </c>
      <c r="H19" s="733">
        <v>0</v>
      </c>
      <c r="I19" s="733">
        <v>0</v>
      </c>
      <c r="N19" s="730"/>
      <c r="O19" s="730"/>
    </row>
    <row r="20" spans="3:20">
      <c r="C20" s="615">
        <v>5</v>
      </c>
      <c r="D20" s="713" t="s">
        <v>240</v>
      </c>
      <c r="E20" s="682">
        <f>G20+H20+I20</f>
        <v>120627.7</v>
      </c>
      <c r="F20" s="682"/>
      <c r="G20" s="682">
        <f>+G21+G29</f>
        <v>15939.7</v>
      </c>
      <c r="H20" s="682">
        <f>+H21+H29</f>
        <v>50147</v>
      </c>
      <c r="I20" s="682">
        <f>+I21+I29</f>
        <v>54541</v>
      </c>
      <c r="S20" s="753"/>
    </row>
    <row r="21" spans="3:20">
      <c r="C21" s="615">
        <v>50</v>
      </c>
      <c r="D21" s="713" t="s">
        <v>241</v>
      </c>
      <c r="E21" s="682">
        <f>E22+E26</f>
        <v>89940.7</v>
      </c>
      <c r="F21" s="682"/>
      <c r="G21" s="682">
        <f>+G22+G26</f>
        <v>8939.7000000000007</v>
      </c>
      <c r="H21" s="682">
        <f>+H22+H26</f>
        <v>39280</v>
      </c>
      <c r="I21" s="682">
        <f>+I22+I26</f>
        <v>41721</v>
      </c>
      <c r="M21" s="730"/>
      <c r="S21" s="501"/>
    </row>
    <row r="22" spans="3:20">
      <c r="C22" s="615">
        <v>500</v>
      </c>
      <c r="D22" s="713" t="s">
        <v>242</v>
      </c>
      <c r="E22" s="682">
        <f>+E23</f>
        <v>66400</v>
      </c>
      <c r="F22" s="682"/>
      <c r="G22" s="682">
        <f>+G23</f>
        <v>6600</v>
      </c>
      <c r="H22" s="682">
        <f>+H23</f>
        <v>29000</v>
      </c>
      <c r="I22" s="682">
        <f>+I23</f>
        <v>30800</v>
      </c>
      <c r="S22" s="730"/>
    </row>
    <row r="23" spans="3:20">
      <c r="C23" s="615">
        <v>5002</v>
      </c>
      <c r="D23" s="713" t="s">
        <v>243</v>
      </c>
      <c r="E23" s="682">
        <f>SUM(E24:E25)</f>
        <v>66400</v>
      </c>
      <c r="F23" s="682"/>
      <c r="G23" s="682">
        <f>SUM(G24:G25)</f>
        <v>6600</v>
      </c>
      <c r="H23" s="682">
        <f>SUM(H24:H25)</f>
        <v>29000</v>
      </c>
      <c r="I23" s="682">
        <f>SUM(I24:I25)</f>
        <v>30800</v>
      </c>
      <c r="T23" s="730"/>
    </row>
    <row r="24" spans="3:20">
      <c r="C24" s="624">
        <v>500200</v>
      </c>
      <c r="D24" s="715" t="s">
        <v>244</v>
      </c>
      <c r="E24" s="733">
        <f>I24+G24</f>
        <v>37400</v>
      </c>
      <c r="F24" s="733"/>
      <c r="G24" s="733">
        <v>6600</v>
      </c>
      <c r="H24" s="733"/>
      <c r="I24" s="733">
        <v>30800</v>
      </c>
      <c r="J24" s="730"/>
    </row>
    <row r="25" spans="3:20">
      <c r="C25" s="681">
        <v>500501</v>
      </c>
      <c r="D25" s="716" t="s">
        <v>283</v>
      </c>
      <c r="E25" s="733">
        <f>H25</f>
        <v>29000</v>
      </c>
      <c r="F25" s="734"/>
      <c r="G25" s="734">
        <f>0*272</f>
        <v>0</v>
      </c>
      <c r="H25" s="734">
        <v>29000</v>
      </c>
      <c r="I25" s="734">
        <v>0</v>
      </c>
      <c r="J25" s="740"/>
      <c r="K25" s="740"/>
    </row>
    <row r="26" spans="3:20" ht="26.5">
      <c r="C26" s="615">
        <v>506</v>
      </c>
      <c r="D26" s="712" t="s">
        <v>217</v>
      </c>
      <c r="E26" s="682">
        <f>+E27+E28</f>
        <v>23540.7</v>
      </c>
      <c r="F26" s="682"/>
      <c r="G26" s="682">
        <f>+G27+G28</f>
        <v>2339.6999999999998</v>
      </c>
      <c r="H26" s="682">
        <f>+H27+H28</f>
        <v>10280</v>
      </c>
      <c r="I26" s="682">
        <f>+I27+I28</f>
        <v>10921</v>
      </c>
    </row>
    <row r="27" spans="3:20">
      <c r="C27" s="624">
        <v>506000</v>
      </c>
      <c r="D27" s="715" t="s">
        <v>218</v>
      </c>
      <c r="E27" s="733">
        <f>SUM(F27:I27)</f>
        <v>21912</v>
      </c>
      <c r="F27" s="733"/>
      <c r="G27" s="733">
        <f>+G23*0.33</f>
        <v>2178</v>
      </c>
      <c r="H27" s="733">
        <f>+H23*0.33</f>
        <v>9570</v>
      </c>
      <c r="I27" s="733">
        <f>+I23*0.33</f>
        <v>10164</v>
      </c>
      <c r="J27" s="740"/>
      <c r="L27" s="740"/>
    </row>
    <row r="28" spans="3:20">
      <c r="C28" s="624">
        <v>506040</v>
      </c>
      <c r="D28" s="715" t="s">
        <v>219</v>
      </c>
      <c r="E28" s="733">
        <f>SUM(F28:I28)</f>
        <v>1628.7</v>
      </c>
      <c r="F28" s="733"/>
      <c r="G28" s="733">
        <f>+G23*0.0245</f>
        <v>161.70000000000002</v>
      </c>
      <c r="H28" s="733">
        <v>710</v>
      </c>
      <c r="I28" s="733">
        <v>757</v>
      </c>
      <c r="J28" s="740"/>
      <c r="K28" s="731"/>
      <c r="L28" s="731"/>
      <c r="M28" s="754"/>
      <c r="N28" s="731"/>
    </row>
    <row r="29" spans="3:20">
      <c r="C29" s="615">
        <v>55</v>
      </c>
      <c r="D29" s="712" t="s">
        <v>246</v>
      </c>
      <c r="E29" s="737">
        <f>SUM(G29:I29)</f>
        <v>30687</v>
      </c>
      <c r="F29" s="682"/>
      <c r="G29" s="682">
        <f>SUM(G30:G39)</f>
        <v>7000</v>
      </c>
      <c r="H29" s="682">
        <f>SUM(H30:H39)</f>
        <v>10867</v>
      </c>
      <c r="I29" s="682">
        <f>SUM(I30:I39)</f>
        <v>12820</v>
      </c>
      <c r="L29" s="730"/>
    </row>
    <row r="30" spans="3:20" ht="26">
      <c r="C30" s="624">
        <v>550000</v>
      </c>
      <c r="D30" s="715" t="s">
        <v>247</v>
      </c>
      <c r="E30" s="733">
        <f t="shared" ref="E30:E39" si="0">G30+H30+I30</f>
        <v>0</v>
      </c>
      <c r="F30" s="733"/>
      <c r="G30" s="733">
        <v>0</v>
      </c>
      <c r="H30" s="733">
        <v>0</v>
      </c>
      <c r="I30" s="733">
        <v>0</v>
      </c>
    </row>
    <row r="31" spans="3:20" ht="21" customHeight="1">
      <c r="C31" s="624">
        <v>550001</v>
      </c>
      <c r="D31" s="715" t="s">
        <v>280</v>
      </c>
      <c r="E31" s="734">
        <f t="shared" si="0"/>
        <v>1600</v>
      </c>
      <c r="F31" s="733"/>
      <c r="G31" s="733">
        <v>0</v>
      </c>
      <c r="H31" s="733">
        <v>1600</v>
      </c>
      <c r="I31" s="733">
        <v>0</v>
      </c>
    </row>
    <row r="32" spans="3:20">
      <c r="C32" s="624">
        <v>550010</v>
      </c>
      <c r="D32" s="715" t="s">
        <v>248</v>
      </c>
      <c r="E32" s="734">
        <f t="shared" si="0"/>
        <v>750</v>
      </c>
      <c r="F32" s="733"/>
      <c r="G32" s="733">
        <v>0</v>
      </c>
      <c r="H32" s="733"/>
      <c r="I32" s="733">
        <v>750</v>
      </c>
    </row>
    <row r="33" spans="3:16">
      <c r="C33" s="624">
        <v>550040</v>
      </c>
      <c r="D33" s="715" t="s">
        <v>291</v>
      </c>
      <c r="E33" s="734">
        <f t="shared" si="0"/>
        <v>5867</v>
      </c>
      <c r="F33" s="733"/>
      <c r="G33" s="733"/>
      <c r="H33" s="733">
        <v>5367</v>
      </c>
      <c r="I33" s="733">
        <v>500</v>
      </c>
    </row>
    <row r="34" spans="3:16">
      <c r="C34" s="624">
        <v>550051</v>
      </c>
      <c r="D34" s="715" t="s">
        <v>252</v>
      </c>
      <c r="E34" s="734">
        <f t="shared" si="0"/>
        <v>5500</v>
      </c>
      <c r="F34" s="733"/>
      <c r="G34" s="733">
        <v>2000</v>
      </c>
      <c r="H34" s="733"/>
      <c r="I34" s="733">
        <v>3500</v>
      </c>
    </row>
    <row r="35" spans="3:16">
      <c r="C35" s="680">
        <v>550099</v>
      </c>
      <c r="D35" s="716" t="s">
        <v>282</v>
      </c>
      <c r="E35" s="734">
        <f t="shared" si="0"/>
        <v>9500</v>
      </c>
      <c r="F35" s="734"/>
      <c r="G35" s="734">
        <v>3000</v>
      </c>
      <c r="H35" s="734">
        <v>1500</v>
      </c>
      <c r="I35" s="733">
        <v>5000</v>
      </c>
    </row>
    <row r="36" spans="3:16">
      <c r="C36" s="624">
        <v>550302</v>
      </c>
      <c r="D36" s="715" t="s">
        <v>278</v>
      </c>
      <c r="E36" s="734">
        <f t="shared" si="0"/>
        <v>0</v>
      </c>
      <c r="F36" s="733"/>
      <c r="G36" s="733">
        <v>0</v>
      </c>
      <c r="H36" s="733">
        <v>0</v>
      </c>
      <c r="I36" s="733">
        <v>0</v>
      </c>
    </row>
    <row r="37" spans="3:16">
      <c r="C37" s="624">
        <v>551308</v>
      </c>
      <c r="D37" s="715" t="s">
        <v>255</v>
      </c>
      <c r="E37" s="734">
        <f t="shared" si="0"/>
        <v>2400</v>
      </c>
      <c r="F37" s="733"/>
      <c r="G37" s="733">
        <v>0</v>
      </c>
      <c r="H37" s="733">
        <v>0</v>
      </c>
      <c r="I37" s="733">
        <v>2400</v>
      </c>
    </row>
    <row r="38" spans="3:16">
      <c r="C38" s="732">
        <v>551410</v>
      </c>
      <c r="D38" s="715" t="s">
        <v>290</v>
      </c>
      <c r="E38" s="734">
        <f t="shared" si="0"/>
        <v>2070</v>
      </c>
      <c r="F38" s="733"/>
      <c r="G38" s="733">
        <v>0</v>
      </c>
      <c r="H38" s="733">
        <v>1400</v>
      </c>
      <c r="I38" s="733">
        <v>670</v>
      </c>
      <c r="L38" s="740"/>
    </row>
    <row r="39" spans="3:16" ht="15" thickBot="1">
      <c r="C39" s="680">
        <v>608090</v>
      </c>
      <c r="D39" s="716" t="s">
        <v>285</v>
      </c>
      <c r="E39" s="734">
        <f t="shared" si="0"/>
        <v>3000</v>
      </c>
      <c r="F39" s="734"/>
      <c r="G39" s="734">
        <v>2000</v>
      </c>
      <c r="H39" s="734">
        <v>1000</v>
      </c>
      <c r="I39" s="751">
        <v>0</v>
      </c>
    </row>
    <row r="40" spans="3:16" ht="15" thickBot="1">
      <c r="C40" s="727"/>
      <c r="D40" s="728" t="s">
        <v>301</v>
      </c>
      <c r="E40" s="735">
        <f>E10-E17</f>
        <v>-15939.699999999953</v>
      </c>
      <c r="F40" s="735">
        <f>F10-F17</f>
        <v>0</v>
      </c>
      <c r="G40" s="735">
        <f t="shared" ref="G40:I40" si="1">G10-G17</f>
        <v>-15939.7</v>
      </c>
      <c r="H40" s="735">
        <f t="shared" si="1"/>
        <v>0</v>
      </c>
      <c r="I40" s="735">
        <f t="shared" si="1"/>
        <v>0</v>
      </c>
    </row>
    <row r="41" spans="3:16">
      <c r="M41" s="740"/>
      <c r="N41" s="730"/>
      <c r="P41" s="730"/>
    </row>
  </sheetData>
  <pageMargins left="0.7" right="0.7" top="0.75" bottom="0.75" header="0.3" footer="0.3"/>
  <pageSetup orientation="landscape" horizontalDpi="300" verticalDpi="300" r:id="rId1"/>
  <ignoredErrors>
    <ignoredError sqref="H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1"/>
  <sheetViews>
    <sheetView workbookViewId="0">
      <selection activeCell="G54" sqref="G54"/>
    </sheetView>
  </sheetViews>
  <sheetFormatPr defaultColWidth="10" defaultRowHeight="14"/>
  <cols>
    <col min="1" max="1" width="5.26953125" style="470" customWidth="1"/>
    <col min="2" max="2" width="34.54296875" style="470" customWidth="1"/>
    <col min="3" max="3" width="10.453125" style="474" customWidth="1"/>
    <col min="4" max="4" width="9.54296875" style="470" customWidth="1"/>
    <col min="5" max="5" width="10.1796875" style="474" customWidth="1"/>
    <col min="6" max="6" width="9.54296875" style="472" customWidth="1"/>
    <col min="7" max="7" width="9.1796875" style="471" customWidth="1"/>
    <col min="8" max="9" width="11.26953125" style="471" customWidth="1"/>
    <col min="10" max="255" width="10" style="470"/>
    <col min="256" max="256" width="5.26953125" style="470" customWidth="1"/>
    <col min="257" max="257" width="30.26953125" style="470" customWidth="1"/>
    <col min="258" max="259" width="11.26953125" style="470" customWidth="1"/>
    <col min="260" max="260" width="10.7265625" style="470" customWidth="1"/>
    <col min="261" max="261" width="4.54296875" style="470" customWidth="1"/>
    <col min="262" max="262" width="10" style="470" customWidth="1"/>
    <col min="263" max="511" width="10" style="470"/>
    <col min="512" max="512" width="5.26953125" style="470" customWidth="1"/>
    <col min="513" max="513" width="30.26953125" style="470" customWidth="1"/>
    <col min="514" max="515" width="11.26953125" style="470" customWidth="1"/>
    <col min="516" max="516" width="10.7265625" style="470" customWidth="1"/>
    <col min="517" max="517" width="4.54296875" style="470" customWidth="1"/>
    <col min="518" max="518" width="10" style="470" customWidth="1"/>
    <col min="519" max="767" width="10" style="470"/>
    <col min="768" max="768" width="5.26953125" style="470" customWidth="1"/>
    <col min="769" max="769" width="30.26953125" style="470" customWidth="1"/>
    <col min="770" max="771" width="11.26953125" style="470" customWidth="1"/>
    <col min="772" max="772" width="10.7265625" style="470" customWidth="1"/>
    <col min="773" max="773" width="4.54296875" style="470" customWidth="1"/>
    <col min="774" max="774" width="10" style="470" customWidth="1"/>
    <col min="775" max="1023" width="10" style="470"/>
    <col min="1024" max="1024" width="5.26953125" style="470" customWidth="1"/>
    <col min="1025" max="1025" width="30.26953125" style="470" customWidth="1"/>
    <col min="1026" max="1027" width="11.26953125" style="470" customWidth="1"/>
    <col min="1028" max="1028" width="10.7265625" style="470" customWidth="1"/>
    <col min="1029" max="1029" width="4.54296875" style="470" customWidth="1"/>
    <col min="1030" max="1030" width="10" style="470" customWidth="1"/>
    <col min="1031" max="1279" width="10" style="470"/>
    <col min="1280" max="1280" width="5.26953125" style="470" customWidth="1"/>
    <col min="1281" max="1281" width="30.26953125" style="470" customWidth="1"/>
    <col min="1282" max="1283" width="11.26953125" style="470" customWidth="1"/>
    <col min="1284" max="1284" width="10.7265625" style="470" customWidth="1"/>
    <col min="1285" max="1285" width="4.54296875" style="470" customWidth="1"/>
    <col min="1286" max="1286" width="10" style="470" customWidth="1"/>
    <col min="1287" max="1535" width="10" style="470"/>
    <col min="1536" max="1536" width="5.26953125" style="470" customWidth="1"/>
    <col min="1537" max="1537" width="30.26953125" style="470" customWidth="1"/>
    <col min="1538" max="1539" width="11.26953125" style="470" customWidth="1"/>
    <col min="1540" max="1540" width="10.7265625" style="470" customWidth="1"/>
    <col min="1541" max="1541" width="4.54296875" style="470" customWidth="1"/>
    <col min="1542" max="1542" width="10" style="470" customWidth="1"/>
    <col min="1543" max="1791" width="10" style="470"/>
    <col min="1792" max="1792" width="5.26953125" style="470" customWidth="1"/>
    <col min="1793" max="1793" width="30.26953125" style="470" customWidth="1"/>
    <col min="1794" max="1795" width="11.26953125" style="470" customWidth="1"/>
    <col min="1796" max="1796" width="10.7265625" style="470" customWidth="1"/>
    <col min="1797" max="1797" width="4.54296875" style="470" customWidth="1"/>
    <col min="1798" max="1798" width="10" style="470" customWidth="1"/>
    <col min="1799" max="2047" width="10" style="470"/>
    <col min="2048" max="2048" width="5.26953125" style="470" customWidth="1"/>
    <col min="2049" max="2049" width="30.26953125" style="470" customWidth="1"/>
    <col min="2050" max="2051" width="11.26953125" style="470" customWidth="1"/>
    <col min="2052" max="2052" width="10.7265625" style="470" customWidth="1"/>
    <col min="2053" max="2053" width="4.54296875" style="470" customWidth="1"/>
    <col min="2054" max="2054" width="10" style="470" customWidth="1"/>
    <col min="2055" max="2303" width="10" style="470"/>
    <col min="2304" max="2304" width="5.26953125" style="470" customWidth="1"/>
    <col min="2305" max="2305" width="30.26953125" style="470" customWidth="1"/>
    <col min="2306" max="2307" width="11.26953125" style="470" customWidth="1"/>
    <col min="2308" max="2308" width="10.7265625" style="470" customWidth="1"/>
    <col min="2309" max="2309" width="4.54296875" style="470" customWidth="1"/>
    <col min="2310" max="2310" width="10" style="470" customWidth="1"/>
    <col min="2311" max="2559" width="10" style="470"/>
    <col min="2560" max="2560" width="5.26953125" style="470" customWidth="1"/>
    <col min="2561" max="2561" width="30.26953125" style="470" customWidth="1"/>
    <col min="2562" max="2563" width="11.26953125" style="470" customWidth="1"/>
    <col min="2564" max="2564" width="10.7265625" style="470" customWidth="1"/>
    <col min="2565" max="2565" width="4.54296875" style="470" customWidth="1"/>
    <col min="2566" max="2566" width="10" style="470" customWidth="1"/>
    <col min="2567" max="2815" width="10" style="470"/>
    <col min="2816" max="2816" width="5.26953125" style="470" customWidth="1"/>
    <col min="2817" max="2817" width="30.26953125" style="470" customWidth="1"/>
    <col min="2818" max="2819" width="11.26953125" style="470" customWidth="1"/>
    <col min="2820" max="2820" width="10.7265625" style="470" customWidth="1"/>
    <col min="2821" max="2821" width="4.54296875" style="470" customWidth="1"/>
    <col min="2822" max="2822" width="10" style="470" customWidth="1"/>
    <col min="2823" max="3071" width="10" style="470"/>
    <col min="3072" max="3072" width="5.26953125" style="470" customWidth="1"/>
    <col min="3073" max="3073" width="30.26953125" style="470" customWidth="1"/>
    <col min="3074" max="3075" width="11.26953125" style="470" customWidth="1"/>
    <col min="3076" max="3076" width="10.7265625" style="470" customWidth="1"/>
    <col min="3077" max="3077" width="4.54296875" style="470" customWidth="1"/>
    <col min="3078" max="3078" width="10" style="470" customWidth="1"/>
    <col min="3079" max="3327" width="10" style="470"/>
    <col min="3328" max="3328" width="5.26953125" style="470" customWidth="1"/>
    <col min="3329" max="3329" width="30.26953125" style="470" customWidth="1"/>
    <col min="3330" max="3331" width="11.26953125" style="470" customWidth="1"/>
    <col min="3332" max="3332" width="10.7265625" style="470" customWidth="1"/>
    <col min="3333" max="3333" width="4.54296875" style="470" customWidth="1"/>
    <col min="3334" max="3334" width="10" style="470" customWidth="1"/>
    <col min="3335" max="3583" width="10" style="470"/>
    <col min="3584" max="3584" width="5.26953125" style="470" customWidth="1"/>
    <col min="3585" max="3585" width="30.26953125" style="470" customWidth="1"/>
    <col min="3586" max="3587" width="11.26953125" style="470" customWidth="1"/>
    <col min="3588" max="3588" width="10.7265625" style="470" customWidth="1"/>
    <col min="3589" max="3589" width="4.54296875" style="470" customWidth="1"/>
    <col min="3590" max="3590" width="10" style="470" customWidth="1"/>
    <col min="3591" max="3839" width="10" style="470"/>
    <col min="3840" max="3840" width="5.26953125" style="470" customWidth="1"/>
    <col min="3841" max="3841" width="30.26953125" style="470" customWidth="1"/>
    <col min="3842" max="3843" width="11.26953125" style="470" customWidth="1"/>
    <col min="3844" max="3844" width="10.7265625" style="470" customWidth="1"/>
    <col min="3845" max="3845" width="4.54296875" style="470" customWidth="1"/>
    <col min="3846" max="3846" width="10" style="470" customWidth="1"/>
    <col min="3847" max="4095" width="10" style="470"/>
    <col min="4096" max="4096" width="5.26953125" style="470" customWidth="1"/>
    <col min="4097" max="4097" width="30.26953125" style="470" customWidth="1"/>
    <col min="4098" max="4099" width="11.26953125" style="470" customWidth="1"/>
    <col min="4100" max="4100" width="10.7265625" style="470" customWidth="1"/>
    <col min="4101" max="4101" width="4.54296875" style="470" customWidth="1"/>
    <col min="4102" max="4102" width="10" style="470" customWidth="1"/>
    <col min="4103" max="4351" width="10" style="470"/>
    <col min="4352" max="4352" width="5.26953125" style="470" customWidth="1"/>
    <col min="4353" max="4353" width="30.26953125" style="470" customWidth="1"/>
    <col min="4354" max="4355" width="11.26953125" style="470" customWidth="1"/>
    <col min="4356" max="4356" width="10.7265625" style="470" customWidth="1"/>
    <col min="4357" max="4357" width="4.54296875" style="470" customWidth="1"/>
    <col min="4358" max="4358" width="10" style="470" customWidth="1"/>
    <col min="4359" max="4607" width="10" style="470"/>
    <col min="4608" max="4608" width="5.26953125" style="470" customWidth="1"/>
    <col min="4609" max="4609" width="30.26953125" style="470" customWidth="1"/>
    <col min="4610" max="4611" width="11.26953125" style="470" customWidth="1"/>
    <col min="4612" max="4612" width="10.7265625" style="470" customWidth="1"/>
    <col min="4613" max="4613" width="4.54296875" style="470" customWidth="1"/>
    <col min="4614" max="4614" width="10" style="470" customWidth="1"/>
    <col min="4615" max="4863" width="10" style="470"/>
    <col min="4864" max="4864" width="5.26953125" style="470" customWidth="1"/>
    <col min="4865" max="4865" width="30.26953125" style="470" customWidth="1"/>
    <col min="4866" max="4867" width="11.26953125" style="470" customWidth="1"/>
    <col min="4868" max="4868" width="10.7265625" style="470" customWidth="1"/>
    <col min="4869" max="4869" width="4.54296875" style="470" customWidth="1"/>
    <col min="4870" max="4870" width="10" style="470" customWidth="1"/>
    <col min="4871" max="5119" width="10" style="470"/>
    <col min="5120" max="5120" width="5.26953125" style="470" customWidth="1"/>
    <col min="5121" max="5121" width="30.26953125" style="470" customWidth="1"/>
    <col min="5122" max="5123" width="11.26953125" style="470" customWidth="1"/>
    <col min="5124" max="5124" width="10.7265625" style="470" customWidth="1"/>
    <col min="5125" max="5125" width="4.54296875" style="470" customWidth="1"/>
    <col min="5126" max="5126" width="10" style="470" customWidth="1"/>
    <col min="5127" max="5375" width="10" style="470"/>
    <col min="5376" max="5376" width="5.26953125" style="470" customWidth="1"/>
    <col min="5377" max="5377" width="30.26953125" style="470" customWidth="1"/>
    <col min="5378" max="5379" width="11.26953125" style="470" customWidth="1"/>
    <col min="5380" max="5380" width="10.7265625" style="470" customWidth="1"/>
    <col min="5381" max="5381" width="4.54296875" style="470" customWidth="1"/>
    <col min="5382" max="5382" width="10" style="470" customWidth="1"/>
    <col min="5383" max="5631" width="10" style="470"/>
    <col min="5632" max="5632" width="5.26953125" style="470" customWidth="1"/>
    <col min="5633" max="5633" width="30.26953125" style="470" customWidth="1"/>
    <col min="5634" max="5635" width="11.26953125" style="470" customWidth="1"/>
    <col min="5636" max="5636" width="10.7265625" style="470" customWidth="1"/>
    <col min="5637" max="5637" width="4.54296875" style="470" customWidth="1"/>
    <col min="5638" max="5638" width="10" style="470" customWidth="1"/>
    <col min="5639" max="5887" width="10" style="470"/>
    <col min="5888" max="5888" width="5.26953125" style="470" customWidth="1"/>
    <col min="5889" max="5889" width="30.26953125" style="470" customWidth="1"/>
    <col min="5890" max="5891" width="11.26953125" style="470" customWidth="1"/>
    <col min="5892" max="5892" width="10.7265625" style="470" customWidth="1"/>
    <col min="5893" max="5893" width="4.54296875" style="470" customWidth="1"/>
    <col min="5894" max="5894" width="10" style="470" customWidth="1"/>
    <col min="5895" max="6143" width="10" style="470"/>
    <col min="6144" max="6144" width="5.26953125" style="470" customWidth="1"/>
    <col min="6145" max="6145" width="30.26953125" style="470" customWidth="1"/>
    <col min="6146" max="6147" width="11.26953125" style="470" customWidth="1"/>
    <col min="6148" max="6148" width="10.7265625" style="470" customWidth="1"/>
    <col min="6149" max="6149" width="4.54296875" style="470" customWidth="1"/>
    <col min="6150" max="6150" width="10" style="470" customWidth="1"/>
    <col min="6151" max="6399" width="10" style="470"/>
    <col min="6400" max="6400" width="5.26953125" style="470" customWidth="1"/>
    <col min="6401" max="6401" width="30.26953125" style="470" customWidth="1"/>
    <col min="6402" max="6403" width="11.26953125" style="470" customWidth="1"/>
    <col min="6404" max="6404" width="10.7265625" style="470" customWidth="1"/>
    <col min="6405" max="6405" width="4.54296875" style="470" customWidth="1"/>
    <col min="6406" max="6406" width="10" style="470" customWidth="1"/>
    <col min="6407" max="6655" width="10" style="470"/>
    <col min="6656" max="6656" width="5.26953125" style="470" customWidth="1"/>
    <col min="6657" max="6657" width="30.26953125" style="470" customWidth="1"/>
    <col min="6658" max="6659" width="11.26953125" style="470" customWidth="1"/>
    <col min="6660" max="6660" width="10.7265625" style="470" customWidth="1"/>
    <col min="6661" max="6661" width="4.54296875" style="470" customWidth="1"/>
    <col min="6662" max="6662" width="10" style="470" customWidth="1"/>
    <col min="6663" max="6911" width="10" style="470"/>
    <col min="6912" max="6912" width="5.26953125" style="470" customWidth="1"/>
    <col min="6913" max="6913" width="30.26953125" style="470" customWidth="1"/>
    <col min="6914" max="6915" width="11.26953125" style="470" customWidth="1"/>
    <col min="6916" max="6916" width="10.7265625" style="470" customWidth="1"/>
    <col min="6917" max="6917" width="4.54296875" style="470" customWidth="1"/>
    <col min="6918" max="6918" width="10" style="470" customWidth="1"/>
    <col min="6919" max="7167" width="10" style="470"/>
    <col min="7168" max="7168" width="5.26953125" style="470" customWidth="1"/>
    <col min="7169" max="7169" width="30.26953125" style="470" customWidth="1"/>
    <col min="7170" max="7171" width="11.26953125" style="470" customWidth="1"/>
    <col min="7172" max="7172" width="10.7265625" style="470" customWidth="1"/>
    <col min="7173" max="7173" width="4.54296875" style="470" customWidth="1"/>
    <col min="7174" max="7174" width="10" style="470" customWidth="1"/>
    <col min="7175" max="7423" width="10" style="470"/>
    <col min="7424" max="7424" width="5.26953125" style="470" customWidth="1"/>
    <col min="7425" max="7425" width="30.26953125" style="470" customWidth="1"/>
    <col min="7426" max="7427" width="11.26953125" style="470" customWidth="1"/>
    <col min="7428" max="7428" width="10.7265625" style="470" customWidth="1"/>
    <col min="7429" max="7429" width="4.54296875" style="470" customWidth="1"/>
    <col min="7430" max="7430" width="10" style="470" customWidth="1"/>
    <col min="7431" max="7679" width="10" style="470"/>
    <col min="7680" max="7680" width="5.26953125" style="470" customWidth="1"/>
    <col min="7681" max="7681" width="30.26953125" style="470" customWidth="1"/>
    <col min="7682" max="7683" width="11.26953125" style="470" customWidth="1"/>
    <col min="7684" max="7684" width="10.7265625" style="470" customWidth="1"/>
    <col min="7685" max="7685" width="4.54296875" style="470" customWidth="1"/>
    <col min="7686" max="7686" width="10" style="470" customWidth="1"/>
    <col min="7687" max="7935" width="10" style="470"/>
    <col min="7936" max="7936" width="5.26953125" style="470" customWidth="1"/>
    <col min="7937" max="7937" width="30.26953125" style="470" customWidth="1"/>
    <col min="7938" max="7939" width="11.26953125" style="470" customWidth="1"/>
    <col min="7940" max="7940" width="10.7265625" style="470" customWidth="1"/>
    <col min="7941" max="7941" width="4.54296875" style="470" customWidth="1"/>
    <col min="7942" max="7942" width="10" style="470" customWidth="1"/>
    <col min="7943" max="8191" width="10" style="470"/>
    <col min="8192" max="8192" width="5.26953125" style="470" customWidth="1"/>
    <col min="8193" max="8193" width="30.26953125" style="470" customWidth="1"/>
    <col min="8194" max="8195" width="11.26953125" style="470" customWidth="1"/>
    <col min="8196" max="8196" width="10.7265625" style="470" customWidth="1"/>
    <col min="8197" max="8197" width="4.54296875" style="470" customWidth="1"/>
    <col min="8198" max="8198" width="10" style="470" customWidth="1"/>
    <col min="8199" max="8447" width="10" style="470"/>
    <col min="8448" max="8448" width="5.26953125" style="470" customWidth="1"/>
    <col min="8449" max="8449" width="30.26953125" style="470" customWidth="1"/>
    <col min="8450" max="8451" width="11.26953125" style="470" customWidth="1"/>
    <col min="8452" max="8452" width="10.7265625" style="470" customWidth="1"/>
    <col min="8453" max="8453" width="4.54296875" style="470" customWidth="1"/>
    <col min="8454" max="8454" width="10" style="470" customWidth="1"/>
    <col min="8455" max="8703" width="10" style="470"/>
    <col min="8704" max="8704" width="5.26953125" style="470" customWidth="1"/>
    <col min="8705" max="8705" width="30.26953125" style="470" customWidth="1"/>
    <col min="8706" max="8707" width="11.26953125" style="470" customWidth="1"/>
    <col min="8708" max="8708" width="10.7265625" style="470" customWidth="1"/>
    <col min="8709" max="8709" width="4.54296875" style="470" customWidth="1"/>
    <col min="8710" max="8710" width="10" style="470" customWidth="1"/>
    <col min="8711" max="8959" width="10" style="470"/>
    <col min="8960" max="8960" width="5.26953125" style="470" customWidth="1"/>
    <col min="8961" max="8961" width="30.26953125" style="470" customWidth="1"/>
    <col min="8962" max="8963" width="11.26953125" style="470" customWidth="1"/>
    <col min="8964" max="8964" width="10.7265625" style="470" customWidth="1"/>
    <col min="8965" max="8965" width="4.54296875" style="470" customWidth="1"/>
    <col min="8966" max="8966" width="10" style="470" customWidth="1"/>
    <col min="8967" max="9215" width="10" style="470"/>
    <col min="9216" max="9216" width="5.26953125" style="470" customWidth="1"/>
    <col min="9217" max="9217" width="30.26953125" style="470" customWidth="1"/>
    <col min="9218" max="9219" width="11.26953125" style="470" customWidth="1"/>
    <col min="9220" max="9220" width="10.7265625" style="470" customWidth="1"/>
    <col min="9221" max="9221" width="4.54296875" style="470" customWidth="1"/>
    <col min="9222" max="9222" width="10" style="470" customWidth="1"/>
    <col min="9223" max="9471" width="10" style="470"/>
    <col min="9472" max="9472" width="5.26953125" style="470" customWidth="1"/>
    <col min="9473" max="9473" width="30.26953125" style="470" customWidth="1"/>
    <col min="9474" max="9475" width="11.26953125" style="470" customWidth="1"/>
    <col min="9476" max="9476" width="10.7265625" style="470" customWidth="1"/>
    <col min="9477" max="9477" width="4.54296875" style="470" customWidth="1"/>
    <col min="9478" max="9478" width="10" style="470" customWidth="1"/>
    <col min="9479" max="9727" width="10" style="470"/>
    <col min="9728" max="9728" width="5.26953125" style="470" customWidth="1"/>
    <col min="9729" max="9729" width="30.26953125" style="470" customWidth="1"/>
    <col min="9730" max="9731" width="11.26953125" style="470" customWidth="1"/>
    <col min="9732" max="9732" width="10.7265625" style="470" customWidth="1"/>
    <col min="9733" max="9733" width="4.54296875" style="470" customWidth="1"/>
    <col min="9734" max="9734" width="10" style="470" customWidth="1"/>
    <col min="9735" max="9983" width="10" style="470"/>
    <col min="9984" max="9984" width="5.26953125" style="470" customWidth="1"/>
    <col min="9985" max="9985" width="30.26953125" style="470" customWidth="1"/>
    <col min="9986" max="9987" width="11.26953125" style="470" customWidth="1"/>
    <col min="9988" max="9988" width="10.7265625" style="470" customWidth="1"/>
    <col min="9989" max="9989" width="4.54296875" style="470" customWidth="1"/>
    <col min="9990" max="9990" width="10" style="470" customWidth="1"/>
    <col min="9991" max="10239" width="10" style="470"/>
    <col min="10240" max="10240" width="5.26953125" style="470" customWidth="1"/>
    <col min="10241" max="10241" width="30.26953125" style="470" customWidth="1"/>
    <col min="10242" max="10243" width="11.26953125" style="470" customWidth="1"/>
    <col min="10244" max="10244" width="10.7265625" style="470" customWidth="1"/>
    <col min="10245" max="10245" width="4.54296875" style="470" customWidth="1"/>
    <col min="10246" max="10246" width="10" style="470" customWidth="1"/>
    <col min="10247" max="10495" width="10" style="470"/>
    <col min="10496" max="10496" width="5.26953125" style="470" customWidth="1"/>
    <col min="10497" max="10497" width="30.26953125" style="470" customWidth="1"/>
    <col min="10498" max="10499" width="11.26953125" style="470" customWidth="1"/>
    <col min="10500" max="10500" width="10.7265625" style="470" customWidth="1"/>
    <col min="10501" max="10501" width="4.54296875" style="470" customWidth="1"/>
    <col min="10502" max="10502" width="10" style="470" customWidth="1"/>
    <col min="10503" max="10751" width="10" style="470"/>
    <col min="10752" max="10752" width="5.26953125" style="470" customWidth="1"/>
    <col min="10753" max="10753" width="30.26953125" style="470" customWidth="1"/>
    <col min="10754" max="10755" width="11.26953125" style="470" customWidth="1"/>
    <col min="10756" max="10756" width="10.7265625" style="470" customWidth="1"/>
    <col min="10757" max="10757" width="4.54296875" style="470" customWidth="1"/>
    <col min="10758" max="10758" width="10" style="470" customWidth="1"/>
    <col min="10759" max="11007" width="10" style="470"/>
    <col min="11008" max="11008" width="5.26953125" style="470" customWidth="1"/>
    <col min="11009" max="11009" width="30.26953125" style="470" customWidth="1"/>
    <col min="11010" max="11011" width="11.26953125" style="470" customWidth="1"/>
    <col min="11012" max="11012" width="10.7265625" style="470" customWidth="1"/>
    <col min="11013" max="11013" width="4.54296875" style="470" customWidth="1"/>
    <col min="11014" max="11014" width="10" style="470" customWidth="1"/>
    <col min="11015" max="11263" width="10" style="470"/>
    <col min="11264" max="11264" width="5.26953125" style="470" customWidth="1"/>
    <col min="11265" max="11265" width="30.26953125" style="470" customWidth="1"/>
    <col min="11266" max="11267" width="11.26953125" style="470" customWidth="1"/>
    <col min="11268" max="11268" width="10.7265625" style="470" customWidth="1"/>
    <col min="11269" max="11269" width="4.54296875" style="470" customWidth="1"/>
    <col min="11270" max="11270" width="10" style="470" customWidth="1"/>
    <col min="11271" max="11519" width="10" style="470"/>
    <col min="11520" max="11520" width="5.26953125" style="470" customWidth="1"/>
    <col min="11521" max="11521" width="30.26953125" style="470" customWidth="1"/>
    <col min="11522" max="11523" width="11.26953125" style="470" customWidth="1"/>
    <col min="11524" max="11524" width="10.7265625" style="470" customWidth="1"/>
    <col min="11525" max="11525" width="4.54296875" style="470" customWidth="1"/>
    <col min="11526" max="11526" width="10" style="470" customWidth="1"/>
    <col min="11527" max="11775" width="10" style="470"/>
    <col min="11776" max="11776" width="5.26953125" style="470" customWidth="1"/>
    <col min="11777" max="11777" width="30.26953125" style="470" customWidth="1"/>
    <col min="11778" max="11779" width="11.26953125" style="470" customWidth="1"/>
    <col min="11780" max="11780" width="10.7265625" style="470" customWidth="1"/>
    <col min="11781" max="11781" width="4.54296875" style="470" customWidth="1"/>
    <col min="11782" max="11782" width="10" style="470" customWidth="1"/>
    <col min="11783" max="12031" width="10" style="470"/>
    <col min="12032" max="12032" width="5.26953125" style="470" customWidth="1"/>
    <col min="12033" max="12033" width="30.26953125" style="470" customWidth="1"/>
    <col min="12034" max="12035" width="11.26953125" style="470" customWidth="1"/>
    <col min="12036" max="12036" width="10.7265625" style="470" customWidth="1"/>
    <col min="12037" max="12037" width="4.54296875" style="470" customWidth="1"/>
    <col min="12038" max="12038" width="10" style="470" customWidth="1"/>
    <col min="12039" max="12287" width="10" style="470"/>
    <col min="12288" max="12288" width="5.26953125" style="470" customWidth="1"/>
    <col min="12289" max="12289" width="30.26953125" style="470" customWidth="1"/>
    <col min="12290" max="12291" width="11.26953125" style="470" customWidth="1"/>
    <col min="12292" max="12292" width="10.7265625" style="470" customWidth="1"/>
    <col min="12293" max="12293" width="4.54296875" style="470" customWidth="1"/>
    <col min="12294" max="12294" width="10" style="470" customWidth="1"/>
    <col min="12295" max="12543" width="10" style="470"/>
    <col min="12544" max="12544" width="5.26953125" style="470" customWidth="1"/>
    <col min="12545" max="12545" width="30.26953125" style="470" customWidth="1"/>
    <col min="12546" max="12547" width="11.26953125" style="470" customWidth="1"/>
    <col min="12548" max="12548" width="10.7265625" style="470" customWidth="1"/>
    <col min="12549" max="12549" width="4.54296875" style="470" customWidth="1"/>
    <col min="12550" max="12550" width="10" style="470" customWidth="1"/>
    <col min="12551" max="12799" width="10" style="470"/>
    <col min="12800" max="12800" width="5.26953125" style="470" customWidth="1"/>
    <col min="12801" max="12801" width="30.26953125" style="470" customWidth="1"/>
    <col min="12802" max="12803" width="11.26953125" style="470" customWidth="1"/>
    <col min="12804" max="12804" width="10.7265625" style="470" customWidth="1"/>
    <col min="12805" max="12805" width="4.54296875" style="470" customWidth="1"/>
    <col min="12806" max="12806" width="10" style="470" customWidth="1"/>
    <col min="12807" max="13055" width="10" style="470"/>
    <col min="13056" max="13056" width="5.26953125" style="470" customWidth="1"/>
    <col min="13057" max="13057" width="30.26953125" style="470" customWidth="1"/>
    <col min="13058" max="13059" width="11.26953125" style="470" customWidth="1"/>
    <col min="13060" max="13060" width="10.7265625" style="470" customWidth="1"/>
    <col min="13061" max="13061" width="4.54296875" style="470" customWidth="1"/>
    <col min="13062" max="13062" width="10" style="470" customWidth="1"/>
    <col min="13063" max="13311" width="10" style="470"/>
    <col min="13312" max="13312" width="5.26953125" style="470" customWidth="1"/>
    <col min="13313" max="13313" width="30.26953125" style="470" customWidth="1"/>
    <col min="13314" max="13315" width="11.26953125" style="470" customWidth="1"/>
    <col min="13316" max="13316" width="10.7265625" style="470" customWidth="1"/>
    <col min="13317" max="13317" width="4.54296875" style="470" customWidth="1"/>
    <col min="13318" max="13318" width="10" style="470" customWidth="1"/>
    <col min="13319" max="13567" width="10" style="470"/>
    <col min="13568" max="13568" width="5.26953125" style="470" customWidth="1"/>
    <col min="13569" max="13569" width="30.26953125" style="470" customWidth="1"/>
    <col min="13570" max="13571" width="11.26953125" style="470" customWidth="1"/>
    <col min="13572" max="13572" width="10.7265625" style="470" customWidth="1"/>
    <col min="13573" max="13573" width="4.54296875" style="470" customWidth="1"/>
    <col min="13574" max="13574" width="10" style="470" customWidth="1"/>
    <col min="13575" max="13823" width="10" style="470"/>
    <col min="13824" max="13824" width="5.26953125" style="470" customWidth="1"/>
    <col min="13825" max="13825" width="30.26953125" style="470" customWidth="1"/>
    <col min="13826" max="13827" width="11.26953125" style="470" customWidth="1"/>
    <col min="13828" max="13828" width="10.7265625" style="470" customWidth="1"/>
    <col min="13829" max="13829" width="4.54296875" style="470" customWidth="1"/>
    <col min="13830" max="13830" width="10" style="470" customWidth="1"/>
    <col min="13831" max="14079" width="10" style="470"/>
    <col min="14080" max="14080" width="5.26953125" style="470" customWidth="1"/>
    <col min="14081" max="14081" width="30.26953125" style="470" customWidth="1"/>
    <col min="14082" max="14083" width="11.26953125" style="470" customWidth="1"/>
    <col min="14084" max="14084" width="10.7265625" style="470" customWidth="1"/>
    <col min="14085" max="14085" width="4.54296875" style="470" customWidth="1"/>
    <col min="14086" max="14086" width="10" style="470" customWidth="1"/>
    <col min="14087" max="14335" width="10" style="470"/>
    <col min="14336" max="14336" width="5.26953125" style="470" customWidth="1"/>
    <col min="14337" max="14337" width="30.26953125" style="470" customWidth="1"/>
    <col min="14338" max="14339" width="11.26953125" style="470" customWidth="1"/>
    <col min="14340" max="14340" width="10.7265625" style="470" customWidth="1"/>
    <col min="14341" max="14341" width="4.54296875" style="470" customWidth="1"/>
    <col min="14342" max="14342" width="10" style="470" customWidth="1"/>
    <col min="14343" max="14591" width="10" style="470"/>
    <col min="14592" max="14592" width="5.26953125" style="470" customWidth="1"/>
    <col min="14593" max="14593" width="30.26953125" style="470" customWidth="1"/>
    <col min="14594" max="14595" width="11.26953125" style="470" customWidth="1"/>
    <col min="14596" max="14596" width="10.7265625" style="470" customWidth="1"/>
    <col min="14597" max="14597" width="4.54296875" style="470" customWidth="1"/>
    <col min="14598" max="14598" width="10" style="470" customWidth="1"/>
    <col min="14599" max="14847" width="10" style="470"/>
    <col min="14848" max="14848" width="5.26953125" style="470" customWidth="1"/>
    <col min="14849" max="14849" width="30.26953125" style="470" customWidth="1"/>
    <col min="14850" max="14851" width="11.26953125" style="470" customWidth="1"/>
    <col min="14852" max="14852" width="10.7265625" style="470" customWidth="1"/>
    <col min="14853" max="14853" width="4.54296875" style="470" customWidth="1"/>
    <col min="14854" max="14854" width="10" style="470" customWidth="1"/>
    <col min="14855" max="15103" width="10" style="470"/>
    <col min="15104" max="15104" width="5.26953125" style="470" customWidth="1"/>
    <col min="15105" max="15105" width="30.26953125" style="470" customWidth="1"/>
    <col min="15106" max="15107" width="11.26953125" style="470" customWidth="1"/>
    <col min="15108" max="15108" width="10.7265625" style="470" customWidth="1"/>
    <col min="15109" max="15109" width="4.54296875" style="470" customWidth="1"/>
    <col min="15110" max="15110" width="10" style="470" customWidth="1"/>
    <col min="15111" max="15359" width="10" style="470"/>
    <col min="15360" max="15360" width="5.26953125" style="470" customWidth="1"/>
    <col min="15361" max="15361" width="30.26953125" style="470" customWidth="1"/>
    <col min="15362" max="15363" width="11.26953125" style="470" customWidth="1"/>
    <col min="15364" max="15364" width="10.7265625" style="470" customWidth="1"/>
    <col min="15365" max="15365" width="4.54296875" style="470" customWidth="1"/>
    <col min="15366" max="15366" width="10" style="470" customWidth="1"/>
    <col min="15367" max="15615" width="10" style="470"/>
    <col min="15616" max="15616" width="5.26953125" style="470" customWidth="1"/>
    <col min="15617" max="15617" width="30.26953125" style="470" customWidth="1"/>
    <col min="15618" max="15619" width="11.26953125" style="470" customWidth="1"/>
    <col min="15620" max="15620" width="10.7265625" style="470" customWidth="1"/>
    <col min="15621" max="15621" width="4.54296875" style="470" customWidth="1"/>
    <col min="15622" max="15622" width="10" style="470" customWidth="1"/>
    <col min="15623" max="15871" width="10" style="470"/>
    <col min="15872" max="15872" width="5.26953125" style="470" customWidth="1"/>
    <col min="15873" max="15873" width="30.26953125" style="470" customWidth="1"/>
    <col min="15874" max="15875" width="11.26953125" style="470" customWidth="1"/>
    <col min="15876" max="15876" width="10.7265625" style="470" customWidth="1"/>
    <col min="15877" max="15877" width="4.54296875" style="470" customWidth="1"/>
    <col min="15878" max="15878" width="10" style="470" customWidth="1"/>
    <col min="15879" max="16127" width="10" style="470"/>
    <col min="16128" max="16128" width="5.26953125" style="470" customWidth="1"/>
    <col min="16129" max="16129" width="30.26953125" style="470" customWidth="1"/>
    <col min="16130" max="16131" width="11.26953125" style="470" customWidth="1"/>
    <col min="16132" max="16132" width="10.7265625" style="470" customWidth="1"/>
    <col min="16133" max="16133" width="4.54296875" style="470" customWidth="1"/>
    <col min="16134" max="16134" width="10" style="470" customWidth="1"/>
    <col min="16135" max="16384" width="10" style="470"/>
  </cols>
  <sheetData>
    <row r="1" spans="1:9" ht="23.5" customHeight="1">
      <c r="B1" s="764" t="s">
        <v>279</v>
      </c>
      <c r="C1" s="764"/>
      <c r="D1" s="679"/>
      <c r="E1" s="502"/>
      <c r="F1" s="502"/>
      <c r="G1" s="502"/>
      <c r="H1" s="502"/>
      <c r="I1" s="470"/>
    </row>
    <row r="2" spans="1:9" ht="7.15" customHeight="1">
      <c r="C2" s="473"/>
      <c r="D2" s="473"/>
      <c r="E2" s="473"/>
    </row>
    <row r="3" spans="1:9" ht="15.75" customHeight="1">
      <c r="A3" s="471" t="s">
        <v>271</v>
      </c>
    </row>
    <row r="4" spans="1:9" s="479" customFormat="1" ht="28">
      <c r="A4" s="475" t="s">
        <v>150</v>
      </c>
      <c r="B4" s="476" t="s">
        <v>151</v>
      </c>
      <c r="C4" s="478" t="s">
        <v>272</v>
      </c>
      <c r="D4" s="503" t="s">
        <v>275</v>
      </c>
      <c r="E4" s="503" t="s">
        <v>192</v>
      </c>
      <c r="F4" s="477" t="s">
        <v>155</v>
      </c>
      <c r="G4" s="477" t="s">
        <v>154</v>
      </c>
      <c r="H4" s="477" t="s">
        <v>153</v>
      </c>
      <c r="I4" s="477" t="s">
        <v>152</v>
      </c>
    </row>
    <row r="5" spans="1:9" s="479" customFormat="1" ht="14.5" thickBot="1">
      <c r="A5" s="480">
        <v>1</v>
      </c>
      <c r="B5" s="481" t="s">
        <v>156</v>
      </c>
      <c r="C5" s="483">
        <v>136800</v>
      </c>
      <c r="D5" s="504">
        <v>137250</v>
      </c>
      <c r="E5" s="504">
        <v>132874</v>
      </c>
      <c r="F5" s="482">
        <v>135000</v>
      </c>
      <c r="G5" s="482">
        <v>135000</v>
      </c>
      <c r="H5" s="482">
        <v>105000.0003</v>
      </c>
      <c r="I5" s="482">
        <v>135000</v>
      </c>
    </row>
    <row r="6" spans="1:9" s="479" customFormat="1">
      <c r="A6" s="480">
        <v>2</v>
      </c>
      <c r="B6" s="481" t="s">
        <v>157</v>
      </c>
      <c r="C6" s="690">
        <v>24025</v>
      </c>
      <c r="D6" s="504">
        <v>25184</v>
      </c>
      <c r="E6" s="504">
        <v>25531</v>
      </c>
      <c r="F6" s="482">
        <v>24982</v>
      </c>
      <c r="G6" s="485">
        <v>23738.133025682182</v>
      </c>
      <c r="H6" s="484">
        <v>20293.121199999998</v>
      </c>
      <c r="I6" s="484">
        <v>25694</v>
      </c>
    </row>
    <row r="7" spans="1:9" s="479" customFormat="1">
      <c r="A7" s="480">
        <v>3</v>
      </c>
      <c r="B7" s="481" t="s">
        <v>26</v>
      </c>
      <c r="C7" s="691">
        <v>24764</v>
      </c>
      <c r="D7" s="504">
        <v>24115</v>
      </c>
      <c r="E7" s="504">
        <v>23209</v>
      </c>
      <c r="F7" s="482">
        <v>22886</v>
      </c>
      <c r="G7" s="485">
        <v>22886.209470304973</v>
      </c>
      <c r="H7" s="482">
        <v>17732.589599999999</v>
      </c>
      <c r="I7" s="482">
        <f>22416+36</f>
        <v>22452</v>
      </c>
    </row>
    <row r="8" spans="1:9" s="479" customFormat="1">
      <c r="A8" s="480">
        <v>4</v>
      </c>
      <c r="B8" s="481" t="s">
        <v>158</v>
      </c>
      <c r="C8" s="691">
        <v>19922</v>
      </c>
      <c r="D8" s="504">
        <v>20068</v>
      </c>
      <c r="E8" s="504">
        <v>19256</v>
      </c>
      <c r="F8" s="482">
        <v>18151</v>
      </c>
      <c r="G8" s="485">
        <v>17838.853531300163</v>
      </c>
      <c r="H8" s="484">
        <v>13710.928</v>
      </c>
      <c r="I8" s="484">
        <f>17333+27</f>
        <v>17360</v>
      </c>
    </row>
    <row r="9" spans="1:9" s="479" customFormat="1">
      <c r="A9" s="480">
        <v>5</v>
      </c>
      <c r="B9" s="481" t="s">
        <v>159</v>
      </c>
      <c r="C9" s="691">
        <v>20424</v>
      </c>
      <c r="D9" s="504">
        <v>19742</v>
      </c>
      <c r="E9" s="504">
        <v>19742</v>
      </c>
      <c r="F9" s="482">
        <v>19056</v>
      </c>
      <c r="G9" s="485">
        <v>19056.450441412519</v>
      </c>
      <c r="H9" s="484">
        <v>15876.559599999999</v>
      </c>
      <c r="I9" s="484">
        <v>20102</v>
      </c>
    </row>
    <row r="10" spans="1:9" s="479" customFormat="1">
      <c r="A10" s="480">
        <v>6</v>
      </c>
      <c r="B10" s="481" t="s">
        <v>29</v>
      </c>
      <c r="C10" s="691">
        <v>20828</v>
      </c>
      <c r="D10" s="504">
        <v>19742</v>
      </c>
      <c r="E10" s="504">
        <v>19742</v>
      </c>
      <c r="F10" s="482">
        <v>19056</v>
      </c>
      <c r="G10" s="485">
        <v>19056.450441412519</v>
      </c>
      <c r="H10" s="484">
        <v>16192.479599999999</v>
      </c>
      <c r="I10" s="484">
        <v>20502</v>
      </c>
    </row>
    <row r="11" spans="1:9" s="479" customFormat="1">
      <c r="A11" s="480">
        <v>7</v>
      </c>
      <c r="B11" s="481" t="s">
        <v>160</v>
      </c>
      <c r="C11" s="691">
        <v>18882</v>
      </c>
      <c r="D11" s="504">
        <v>20083</v>
      </c>
      <c r="E11" s="504">
        <v>19102</v>
      </c>
      <c r="F11" s="482">
        <v>18874</v>
      </c>
      <c r="G11" s="485">
        <v>18873.613764044945</v>
      </c>
      <c r="H11" s="484">
        <v>15429.532799999999</v>
      </c>
      <c r="I11" s="484">
        <v>19536</v>
      </c>
    </row>
    <row r="12" spans="1:9" s="479" customFormat="1">
      <c r="A12" s="480">
        <v>8</v>
      </c>
      <c r="B12" s="481" t="s">
        <v>31</v>
      </c>
      <c r="C12" s="691">
        <v>15921</v>
      </c>
      <c r="D12" s="504">
        <v>16294</v>
      </c>
      <c r="E12" s="504">
        <v>16294</v>
      </c>
      <c r="F12" s="482">
        <v>16146</v>
      </c>
      <c r="G12" s="485">
        <v>16146.376404494382</v>
      </c>
      <c r="H12" s="484">
        <v>12918.758599999999</v>
      </c>
      <c r="I12" s="484">
        <f>16341+16</f>
        <v>16357</v>
      </c>
    </row>
    <row r="13" spans="1:9" s="479" customFormat="1">
      <c r="A13" s="480">
        <v>9</v>
      </c>
      <c r="B13" s="481" t="s">
        <v>161</v>
      </c>
      <c r="C13" s="691">
        <v>15419</v>
      </c>
      <c r="D13" s="504">
        <v>15637</v>
      </c>
      <c r="E13" s="504">
        <v>14816</v>
      </c>
      <c r="F13" s="482">
        <v>17683</v>
      </c>
      <c r="G13" s="485">
        <v>17682.974719101123</v>
      </c>
      <c r="H13" s="484">
        <v>15048.849199999999</v>
      </c>
      <c r="I13" s="484">
        <v>19054</v>
      </c>
    </row>
    <row r="14" spans="1:9" s="479" customFormat="1">
      <c r="A14" s="480">
        <v>10</v>
      </c>
      <c r="B14" s="481" t="s">
        <v>33</v>
      </c>
      <c r="C14" s="691">
        <v>15452</v>
      </c>
      <c r="D14" s="504">
        <v>16021</v>
      </c>
      <c r="E14" s="504">
        <v>15708</v>
      </c>
      <c r="F14" s="482">
        <v>16519</v>
      </c>
      <c r="G14" s="485">
        <v>16519.293539325845</v>
      </c>
      <c r="H14" s="484">
        <v>13852.302199999998</v>
      </c>
      <c r="I14" s="484">
        <v>17539</v>
      </c>
    </row>
    <row r="15" spans="1:9" s="479" customFormat="1">
      <c r="A15" s="480">
        <v>11</v>
      </c>
      <c r="B15" s="481" t="s">
        <v>34</v>
      </c>
      <c r="C15" s="691">
        <v>11214</v>
      </c>
      <c r="D15" s="504">
        <v>10919</v>
      </c>
      <c r="E15" s="504">
        <v>10640</v>
      </c>
      <c r="F15" s="482">
        <v>10658</v>
      </c>
      <c r="G15" s="485">
        <v>9761.4885634028888</v>
      </c>
      <c r="H15" s="484">
        <v>6968.4053999999996</v>
      </c>
      <c r="I15" s="484">
        <f>8818+5</f>
        <v>8823</v>
      </c>
    </row>
    <row r="16" spans="1:9" s="479" customFormat="1">
      <c r="A16" s="480">
        <v>12</v>
      </c>
      <c r="B16" s="481" t="s">
        <v>35</v>
      </c>
      <c r="C16" s="691">
        <v>12593</v>
      </c>
      <c r="D16" s="504">
        <v>12735</v>
      </c>
      <c r="E16" s="504">
        <v>12873</v>
      </c>
      <c r="F16" s="482">
        <v>12845</v>
      </c>
      <c r="G16" s="485">
        <v>12845.413322632423</v>
      </c>
      <c r="H16" s="484">
        <v>8613.5587999999989</v>
      </c>
      <c r="I16" s="484">
        <v>10906</v>
      </c>
    </row>
    <row r="17" spans="1:9" s="479" customFormat="1">
      <c r="A17" s="480">
        <v>13</v>
      </c>
      <c r="B17" s="481" t="s">
        <v>162</v>
      </c>
      <c r="C17" s="691">
        <v>9971</v>
      </c>
      <c r="D17" s="504">
        <v>10489</v>
      </c>
      <c r="E17" s="504">
        <v>11658</v>
      </c>
      <c r="F17" s="482">
        <v>11673</v>
      </c>
      <c r="G17" s="485">
        <v>11672.746187800964</v>
      </c>
      <c r="H17" s="484">
        <v>10381.920999999998</v>
      </c>
      <c r="I17" s="484">
        <v>13145</v>
      </c>
    </row>
    <row r="18" spans="1:9" s="479" customFormat="1">
      <c r="A18" s="480">
        <v>14</v>
      </c>
      <c r="B18" s="481" t="s">
        <v>37</v>
      </c>
      <c r="C18" s="691">
        <v>12055</v>
      </c>
      <c r="D18" s="504">
        <v>11477</v>
      </c>
      <c r="E18" s="504">
        <v>11477</v>
      </c>
      <c r="F18" s="482">
        <v>11049</v>
      </c>
      <c r="G18" s="485">
        <v>10699.145465489566</v>
      </c>
      <c r="H18" s="484">
        <v>9689.2663999999986</v>
      </c>
      <c r="I18" s="484">
        <f>12263+5</f>
        <v>12268</v>
      </c>
    </row>
    <row r="19" spans="1:9" s="479" customFormat="1">
      <c r="A19" s="480">
        <v>15</v>
      </c>
      <c r="B19" s="481" t="s">
        <v>38</v>
      </c>
      <c r="C19" s="691">
        <v>11923</v>
      </c>
      <c r="D19" s="504">
        <v>13375</v>
      </c>
      <c r="E19" s="504">
        <v>12260</v>
      </c>
      <c r="F19" s="482">
        <v>12222</v>
      </c>
      <c r="G19" s="485">
        <v>11871.812600321027</v>
      </c>
      <c r="H19" s="484">
        <v>9787.2015999999985</v>
      </c>
      <c r="I19" s="484">
        <f>12372+20</f>
        <v>12392</v>
      </c>
    </row>
    <row r="20" spans="1:9" s="487" customFormat="1">
      <c r="A20" s="480">
        <v>16</v>
      </c>
      <c r="B20" s="486" t="s">
        <v>39</v>
      </c>
      <c r="C20" s="691">
        <v>12829</v>
      </c>
      <c r="D20" s="504">
        <v>12976</v>
      </c>
      <c r="E20" s="504">
        <v>13224</v>
      </c>
      <c r="F20" s="482">
        <v>13026</v>
      </c>
      <c r="G20" s="485">
        <v>12671.562600321027</v>
      </c>
      <c r="H20" s="484">
        <v>9943.5819999999985</v>
      </c>
      <c r="I20" s="484">
        <f>12579+11</f>
        <v>12590</v>
      </c>
    </row>
    <row r="21" spans="1:9" s="479" customFormat="1">
      <c r="A21" s="480">
        <v>17</v>
      </c>
      <c r="B21" s="481" t="s">
        <v>40</v>
      </c>
      <c r="C21" s="691">
        <v>7485</v>
      </c>
      <c r="D21" s="504">
        <v>7333</v>
      </c>
      <c r="E21" s="504">
        <v>6652</v>
      </c>
      <c r="F21" s="482">
        <v>6652</v>
      </c>
      <c r="G21" s="485">
        <v>6652</v>
      </c>
      <c r="H21" s="484">
        <v>6651.6955999999991</v>
      </c>
      <c r="I21" s="484">
        <f>8418+4</f>
        <v>8422</v>
      </c>
    </row>
    <row r="22" spans="1:9" s="479" customFormat="1">
      <c r="A22" s="480">
        <v>18</v>
      </c>
      <c r="B22" s="481" t="s">
        <v>163</v>
      </c>
      <c r="C22" s="691">
        <v>5670</v>
      </c>
      <c r="D22" s="504">
        <v>5517</v>
      </c>
      <c r="E22" s="504">
        <v>6714</v>
      </c>
      <c r="F22" s="482">
        <v>6714</v>
      </c>
      <c r="G22" s="485">
        <v>6714</v>
      </c>
      <c r="H22" s="484">
        <v>6714.0897999999997</v>
      </c>
      <c r="I22" s="484">
        <v>8501</v>
      </c>
    </row>
    <row r="23" spans="1:9" s="479" customFormat="1">
      <c r="A23" s="480">
        <v>19</v>
      </c>
      <c r="B23" s="488" t="s">
        <v>42</v>
      </c>
      <c r="C23" s="691">
        <v>7686</v>
      </c>
      <c r="D23" s="504">
        <v>6903</v>
      </c>
      <c r="E23" s="504">
        <v>9225</v>
      </c>
      <c r="F23" s="482">
        <v>7789</v>
      </c>
      <c r="G23" s="485">
        <v>7789.0714285714284</v>
      </c>
      <c r="H23" s="484">
        <v>7410.6933999999992</v>
      </c>
      <c r="I23" s="484">
        <v>9383</v>
      </c>
    </row>
    <row r="24" spans="1:9" s="479" customFormat="1">
      <c r="A24" s="480">
        <v>20</v>
      </c>
      <c r="B24" s="481" t="s">
        <v>43</v>
      </c>
      <c r="C24" s="691">
        <v>5234</v>
      </c>
      <c r="D24" s="504">
        <v>5118</v>
      </c>
      <c r="E24" s="504">
        <v>5669</v>
      </c>
      <c r="F24" s="482">
        <v>5496</v>
      </c>
      <c r="G24" s="485">
        <v>5495.9107142857138</v>
      </c>
      <c r="H24" s="484">
        <v>6017.4861999999994</v>
      </c>
      <c r="I24" s="484">
        <v>7619</v>
      </c>
    </row>
    <row r="25" spans="1:9" s="479" customFormat="1">
      <c r="A25" s="480">
        <v>21</v>
      </c>
      <c r="B25" s="481" t="s">
        <v>44</v>
      </c>
      <c r="C25" s="691">
        <v>12796</v>
      </c>
      <c r="D25" s="504">
        <v>12992</v>
      </c>
      <c r="E25" s="504">
        <v>12665</v>
      </c>
      <c r="F25" s="482">
        <v>12272</v>
      </c>
      <c r="G25" s="485">
        <v>12271.687600321027</v>
      </c>
      <c r="H25" s="484">
        <v>9881.1877999999997</v>
      </c>
      <c r="I25" s="484">
        <f>12497+14</f>
        <v>12511</v>
      </c>
    </row>
    <row r="26" spans="1:9" s="479" customFormat="1">
      <c r="A26" s="480">
        <v>22</v>
      </c>
      <c r="B26" s="481" t="s">
        <v>164</v>
      </c>
      <c r="C26" s="691">
        <v>7686</v>
      </c>
      <c r="D26" s="504">
        <v>7890</v>
      </c>
      <c r="E26" s="504">
        <v>7597</v>
      </c>
      <c r="F26" s="482">
        <v>8589</v>
      </c>
      <c r="G26" s="485">
        <v>8588.8214285714275</v>
      </c>
      <c r="H26" s="484">
        <v>6017.4861999999994</v>
      </c>
      <c r="I26" s="484">
        <v>7619</v>
      </c>
    </row>
    <row r="27" spans="1:9" s="479" customFormat="1">
      <c r="A27" s="480">
        <v>23</v>
      </c>
      <c r="B27" s="481" t="s">
        <v>165</v>
      </c>
      <c r="C27" s="691">
        <v>6813</v>
      </c>
      <c r="D27" s="504">
        <v>6693</v>
      </c>
      <c r="E27" s="504">
        <v>7345</v>
      </c>
      <c r="F27" s="482">
        <v>7345</v>
      </c>
      <c r="G27" s="485">
        <v>6589.4464285714284</v>
      </c>
      <c r="H27" s="484">
        <v>4973.3705999999993</v>
      </c>
      <c r="I27" s="484">
        <v>6297</v>
      </c>
    </row>
    <row r="28" spans="1:9" s="479" customFormat="1">
      <c r="A28" s="480">
        <v>24</v>
      </c>
      <c r="B28" s="481" t="s">
        <v>47</v>
      </c>
      <c r="C28" s="691">
        <v>7416</v>
      </c>
      <c r="D28" s="504">
        <v>7512</v>
      </c>
      <c r="E28" s="504">
        <v>7495</v>
      </c>
      <c r="F28" s="482">
        <v>7495</v>
      </c>
      <c r="G28" s="485">
        <v>7495.2857142857138</v>
      </c>
      <c r="H28" s="484">
        <v>7410.6933999999992</v>
      </c>
      <c r="I28" s="484">
        <v>9383</v>
      </c>
    </row>
    <row r="29" spans="1:9" s="479" customFormat="1">
      <c r="A29" s="480">
        <v>25</v>
      </c>
      <c r="B29" s="481" t="s">
        <v>48</v>
      </c>
      <c r="C29" s="691">
        <v>6980</v>
      </c>
      <c r="D29" s="504">
        <v>6714</v>
      </c>
      <c r="E29" s="504">
        <v>7397</v>
      </c>
      <c r="F29" s="482">
        <v>7086</v>
      </c>
      <c r="G29" s="485">
        <v>6695.5357142857138</v>
      </c>
      <c r="H29" s="484">
        <v>4722.2141999999994</v>
      </c>
      <c r="I29" s="484">
        <v>5979</v>
      </c>
    </row>
    <row r="30" spans="1:9" s="479" customFormat="1">
      <c r="A30" s="480">
        <v>26</v>
      </c>
      <c r="B30" s="481" t="s">
        <v>49</v>
      </c>
      <c r="C30" s="691">
        <v>8559</v>
      </c>
      <c r="D30" s="504">
        <v>7491</v>
      </c>
      <c r="E30" s="504">
        <v>7597</v>
      </c>
      <c r="F30" s="482">
        <v>6411</v>
      </c>
      <c r="G30" s="485">
        <v>6042.6785714285716</v>
      </c>
      <c r="H30" s="484">
        <v>4973.3705999999993</v>
      </c>
      <c r="I30" s="484">
        <v>6297</v>
      </c>
    </row>
    <row r="31" spans="1:9" s="479" customFormat="1">
      <c r="A31" s="480">
        <v>27</v>
      </c>
      <c r="B31" s="481" t="s">
        <v>166</v>
      </c>
      <c r="C31" s="691">
        <v>10778</v>
      </c>
      <c r="D31" s="504">
        <v>10919</v>
      </c>
      <c r="E31" s="504">
        <v>11504</v>
      </c>
      <c r="F31" s="482">
        <v>10717</v>
      </c>
      <c r="G31" s="485">
        <v>10717</v>
      </c>
      <c r="H31" s="484">
        <v>7030.7995999999994</v>
      </c>
      <c r="I31" s="484">
        <f>8900+2</f>
        <v>8902</v>
      </c>
    </row>
    <row r="32" spans="1:9" s="479" customFormat="1">
      <c r="A32" s="480">
        <v>28</v>
      </c>
      <c r="B32" s="481" t="s">
        <v>51</v>
      </c>
      <c r="C32" s="691">
        <v>7551</v>
      </c>
      <c r="D32" s="504">
        <v>7302</v>
      </c>
      <c r="E32" s="504">
        <v>6633</v>
      </c>
      <c r="F32" s="482">
        <v>7216</v>
      </c>
      <c r="G32" s="485">
        <v>6842</v>
      </c>
      <c r="H32" s="484">
        <v>4973.3705999999993</v>
      </c>
      <c r="I32" s="484">
        <v>6297</v>
      </c>
    </row>
    <row r="33" spans="1:11" s="479" customFormat="1">
      <c r="A33" s="480">
        <v>29</v>
      </c>
      <c r="B33" s="481" t="s">
        <v>167</v>
      </c>
      <c r="C33" s="691">
        <v>9567</v>
      </c>
      <c r="D33" s="504">
        <v>10289</v>
      </c>
      <c r="E33" s="504">
        <v>10289</v>
      </c>
      <c r="F33" s="482">
        <v>12560</v>
      </c>
      <c r="G33" s="485">
        <v>11681.732142857143</v>
      </c>
      <c r="H33" s="484">
        <v>9434.9507999999987</v>
      </c>
      <c r="I33" s="484">
        <v>11946</v>
      </c>
    </row>
    <row r="34" spans="1:11" s="479" customFormat="1">
      <c r="A34" s="480">
        <v>30</v>
      </c>
      <c r="B34" s="481" t="s">
        <v>53</v>
      </c>
      <c r="C34" s="691">
        <v>3789</v>
      </c>
      <c r="D34" s="504">
        <v>3750</v>
      </c>
      <c r="E34" s="504">
        <v>3750</v>
      </c>
      <c r="F34" s="482">
        <v>3750</v>
      </c>
      <c r="G34" s="485">
        <v>3749.5178571428569</v>
      </c>
      <c r="H34" s="484">
        <v>2981.4949999999999</v>
      </c>
      <c r="I34" s="484">
        <v>3775</v>
      </c>
    </row>
    <row r="35" spans="1:11" s="479" customFormat="1">
      <c r="A35" s="480">
        <v>31</v>
      </c>
      <c r="B35" s="507" t="s">
        <v>194</v>
      </c>
      <c r="C35" s="691">
        <v>5536</v>
      </c>
      <c r="D35" s="504">
        <v>4929</v>
      </c>
      <c r="E35" s="504">
        <v>0</v>
      </c>
      <c r="F35" s="482"/>
      <c r="G35" s="485"/>
      <c r="H35" s="484"/>
      <c r="I35" s="484"/>
    </row>
    <row r="36" spans="1:11" s="479" customFormat="1">
      <c r="A36" s="480">
        <v>32</v>
      </c>
      <c r="B36" s="508" t="s">
        <v>147</v>
      </c>
      <c r="C36" s="692">
        <v>8289</v>
      </c>
      <c r="D36" s="504">
        <v>8310</v>
      </c>
      <c r="E36" s="504">
        <v>0</v>
      </c>
      <c r="F36" s="482"/>
      <c r="G36" s="485"/>
      <c r="H36" s="484"/>
      <c r="I36" s="484"/>
    </row>
    <row r="37" spans="1:11" s="479" customFormat="1" ht="14.5" thickBot="1">
      <c r="A37" s="480">
        <v>33</v>
      </c>
      <c r="B37" s="509" t="s">
        <v>195</v>
      </c>
      <c r="C37" s="693">
        <v>7318</v>
      </c>
      <c r="D37" s="504">
        <v>7364</v>
      </c>
      <c r="E37" s="504">
        <v>0</v>
      </c>
      <c r="F37" s="482"/>
      <c r="G37" s="485"/>
      <c r="H37" s="484"/>
      <c r="I37" s="484"/>
    </row>
    <row r="38" spans="1:11" s="479" customFormat="1" ht="14.5" thickBot="1">
      <c r="A38" s="489"/>
      <c r="B38" s="490" t="s">
        <v>168</v>
      </c>
      <c r="C38" s="492">
        <f t="shared" ref="C38:I38" si="0">SUM(C5:C37)</f>
        <v>512175</v>
      </c>
      <c r="D38" s="506">
        <f>SUM(D5:D37)</f>
        <v>513133</v>
      </c>
      <c r="E38" s="506">
        <f t="shared" si="0"/>
        <v>488938</v>
      </c>
      <c r="F38" s="506">
        <f t="shared" si="0"/>
        <v>489918</v>
      </c>
      <c r="G38" s="506">
        <f t="shared" si="0"/>
        <v>483645.21167736762</v>
      </c>
      <c r="H38" s="506">
        <f t="shared" si="0"/>
        <v>390631.96009999997</v>
      </c>
      <c r="I38" s="506">
        <f t="shared" si="0"/>
        <v>496651</v>
      </c>
    </row>
    <row r="39" spans="1:11" s="479" customFormat="1">
      <c r="A39" s="480">
        <v>34</v>
      </c>
      <c r="B39" s="493" t="s">
        <v>169</v>
      </c>
      <c r="C39" s="694">
        <v>32730</v>
      </c>
      <c r="D39" s="504">
        <v>37827</v>
      </c>
      <c r="E39" s="504">
        <v>37827</v>
      </c>
      <c r="F39" s="482">
        <v>37827</v>
      </c>
      <c r="G39" s="494">
        <v>37827.25293106545</v>
      </c>
      <c r="H39" s="482">
        <v>29154.677199999998</v>
      </c>
      <c r="I39" s="482">
        <v>36914</v>
      </c>
      <c r="K39" s="698">
        <v>35588</v>
      </c>
    </row>
    <row r="40" spans="1:11" s="479" customFormat="1">
      <c r="A40" s="480">
        <v>35</v>
      </c>
      <c r="B40" s="495" t="s">
        <v>170</v>
      </c>
      <c r="C40" s="695">
        <v>31786</v>
      </c>
      <c r="D40" s="504">
        <v>34512</v>
      </c>
      <c r="E40" s="504">
        <v>34512</v>
      </c>
      <c r="F40" s="482">
        <v>35259</v>
      </c>
      <c r="G40" s="494">
        <v>34081.334923933398</v>
      </c>
      <c r="H40" s="482">
        <v>27128.840199999999</v>
      </c>
      <c r="I40" s="482">
        <v>34349</v>
      </c>
      <c r="K40" s="697">
        <v>33377</v>
      </c>
    </row>
    <row r="41" spans="1:11" s="479" customFormat="1">
      <c r="A41" s="480">
        <v>36</v>
      </c>
      <c r="B41" s="495" t="s">
        <v>171</v>
      </c>
      <c r="C41" s="695">
        <v>31270</v>
      </c>
      <c r="D41" s="504">
        <v>34615</v>
      </c>
      <c r="E41" s="504">
        <v>35719</v>
      </c>
      <c r="F41" s="482">
        <v>35332</v>
      </c>
      <c r="G41" s="494">
        <v>33973.642807665667</v>
      </c>
      <c r="H41" s="482">
        <v>28270.891</v>
      </c>
      <c r="I41" s="482">
        <v>35795</v>
      </c>
      <c r="K41" s="697">
        <v>32627</v>
      </c>
    </row>
    <row r="42" spans="1:11" s="479" customFormat="1">
      <c r="A42" s="480">
        <v>37</v>
      </c>
      <c r="B42" s="493" t="s">
        <v>172</v>
      </c>
      <c r="C42" s="695">
        <v>27639</v>
      </c>
      <c r="D42" s="504">
        <v>27193</v>
      </c>
      <c r="E42" s="504">
        <v>24924</v>
      </c>
      <c r="F42" s="482">
        <v>27291</v>
      </c>
      <c r="G42" s="494">
        <v>25340.823186844194</v>
      </c>
      <c r="H42" s="482">
        <v>23806.9414</v>
      </c>
      <c r="I42" s="482">
        <v>30143</v>
      </c>
      <c r="K42" s="697">
        <v>27026</v>
      </c>
    </row>
    <row r="43" spans="1:11" s="479" customFormat="1">
      <c r="A43" s="480">
        <v>38</v>
      </c>
      <c r="B43" s="493" t="s">
        <v>173</v>
      </c>
      <c r="C43" s="695">
        <v>26478</v>
      </c>
      <c r="D43" s="504">
        <v>27552</v>
      </c>
      <c r="E43" s="504">
        <v>23915</v>
      </c>
      <c r="F43" s="482">
        <v>23915</v>
      </c>
      <c r="G43" s="494">
        <v>23914.593678647478</v>
      </c>
      <c r="H43" s="482">
        <v>19170.815399999999</v>
      </c>
      <c r="I43" s="482">
        <v>24273</v>
      </c>
      <c r="K43" s="697">
        <v>29385</v>
      </c>
    </row>
    <row r="44" spans="1:11" s="479" customFormat="1">
      <c r="A44" s="480">
        <v>39</v>
      </c>
      <c r="B44" s="493" t="s">
        <v>174</v>
      </c>
      <c r="C44" s="695">
        <v>24972</v>
      </c>
      <c r="D44" s="504">
        <v>27750</v>
      </c>
      <c r="E44" s="504">
        <v>26157</v>
      </c>
      <c r="F44" s="482">
        <v>25740</v>
      </c>
      <c r="G44" s="494">
        <v>25740.123784601965</v>
      </c>
      <c r="H44" s="482">
        <v>20718.823399999997</v>
      </c>
      <c r="I44" s="482">
        <v>26233</v>
      </c>
      <c r="K44" s="697">
        <v>26659</v>
      </c>
    </row>
    <row r="45" spans="1:11" s="479" customFormat="1">
      <c r="A45" s="480">
        <v>40</v>
      </c>
      <c r="B45" s="493" t="s">
        <v>175</v>
      </c>
      <c r="C45" s="695">
        <v>22014</v>
      </c>
      <c r="D45" s="504">
        <v>19313</v>
      </c>
      <c r="E45" s="504">
        <v>19071</v>
      </c>
      <c r="F45" s="482">
        <v>21018</v>
      </c>
      <c r="G45" s="494">
        <v>21017.941635239487</v>
      </c>
      <c r="H45" s="482">
        <v>18700.0946</v>
      </c>
      <c r="I45" s="482">
        <v>23677</v>
      </c>
      <c r="K45" s="697">
        <v>20134</v>
      </c>
    </row>
    <row r="46" spans="1:11" s="479" customFormat="1">
      <c r="A46" s="480">
        <v>41</v>
      </c>
      <c r="B46" s="493" t="s">
        <v>176</v>
      </c>
      <c r="C46" s="695">
        <v>22232</v>
      </c>
      <c r="D46" s="504">
        <v>22225</v>
      </c>
      <c r="E46" s="504">
        <v>19268</v>
      </c>
      <c r="F46" s="482">
        <v>18447</v>
      </c>
      <c r="G46" s="494">
        <v>18444.365940634703</v>
      </c>
      <c r="H46" s="482">
        <v>16592.908199999998</v>
      </c>
      <c r="I46" s="482">
        <v>21009</v>
      </c>
      <c r="K46" s="697">
        <v>22321</v>
      </c>
    </row>
    <row r="47" spans="1:11" s="479" customFormat="1">
      <c r="A47" s="480">
        <v>42</v>
      </c>
      <c r="B47" s="493" t="s">
        <v>177</v>
      </c>
      <c r="C47" s="695">
        <v>21948</v>
      </c>
      <c r="D47" s="504">
        <v>22778</v>
      </c>
      <c r="E47" s="504">
        <v>19962</v>
      </c>
      <c r="F47" s="482">
        <v>17722</v>
      </c>
      <c r="G47" s="494">
        <v>17721.988994073734</v>
      </c>
      <c r="H47" s="482">
        <v>12734.735199999999</v>
      </c>
      <c r="I47" s="482">
        <v>16124</v>
      </c>
      <c r="K47" s="697">
        <v>21851</v>
      </c>
    </row>
    <row r="48" spans="1:11" s="479" customFormat="1">
      <c r="A48" s="480">
        <v>43</v>
      </c>
      <c r="B48" s="493" t="s">
        <v>178</v>
      </c>
      <c r="C48" s="695">
        <v>23369</v>
      </c>
      <c r="D48" s="504">
        <v>21592</v>
      </c>
      <c r="E48" s="504">
        <v>20475</v>
      </c>
      <c r="F48" s="482">
        <v>21005</v>
      </c>
      <c r="G48" s="494">
        <v>21005.107314194822</v>
      </c>
      <c r="H48" s="482">
        <v>18459.205599999998</v>
      </c>
      <c r="I48" s="482">
        <v>23372</v>
      </c>
      <c r="K48" s="697">
        <v>23459</v>
      </c>
    </row>
    <row r="49" spans="1:11" s="479" customFormat="1">
      <c r="A49" s="480">
        <v>44</v>
      </c>
      <c r="B49" s="493" t="s">
        <v>179</v>
      </c>
      <c r="C49" s="695">
        <v>20488</v>
      </c>
      <c r="D49" s="504">
        <v>20262</v>
      </c>
      <c r="E49" s="504">
        <v>17722</v>
      </c>
      <c r="F49" s="482">
        <v>17722</v>
      </c>
      <c r="G49" s="494">
        <v>17721.988994073734</v>
      </c>
      <c r="H49" s="482">
        <v>15427.953199999998</v>
      </c>
      <c r="I49" s="482">
        <v>19534</v>
      </c>
      <c r="K49" s="697">
        <v>18890</v>
      </c>
    </row>
    <row r="50" spans="1:11" s="479" customFormat="1">
      <c r="A50" s="480">
        <v>45</v>
      </c>
      <c r="B50" s="493" t="s">
        <v>180</v>
      </c>
      <c r="C50" s="695">
        <v>13375</v>
      </c>
      <c r="D50" s="504">
        <v>15289</v>
      </c>
      <c r="E50" s="504">
        <v>15289</v>
      </c>
      <c r="F50" s="482">
        <v>12892</v>
      </c>
      <c r="G50" s="494">
        <v>12892.114728443519</v>
      </c>
      <c r="H50" s="482">
        <v>11720.632</v>
      </c>
      <c r="I50" s="482">
        <v>14840</v>
      </c>
      <c r="K50" s="697">
        <v>14359</v>
      </c>
    </row>
    <row r="51" spans="1:11" s="479" customFormat="1">
      <c r="A51" s="480">
        <v>46</v>
      </c>
      <c r="B51" s="495" t="s">
        <v>181</v>
      </c>
      <c r="C51" s="695">
        <v>21649</v>
      </c>
      <c r="D51" s="504">
        <v>19587</v>
      </c>
      <c r="E51" s="504">
        <v>16766</v>
      </c>
      <c r="F51" s="482">
        <v>15789</v>
      </c>
      <c r="G51" s="494">
        <v>15788.766771851511</v>
      </c>
      <c r="H51" s="482">
        <v>14941.436399999999</v>
      </c>
      <c r="I51" s="482">
        <v>18918</v>
      </c>
      <c r="K51" s="697">
        <v>19534</v>
      </c>
    </row>
    <row r="52" spans="1:11" s="479" customFormat="1">
      <c r="A52" s="480">
        <v>47</v>
      </c>
      <c r="B52" s="493" t="s">
        <v>182</v>
      </c>
      <c r="C52" s="695">
        <v>22246</v>
      </c>
      <c r="D52" s="504">
        <v>19211</v>
      </c>
      <c r="E52" s="504">
        <v>18076</v>
      </c>
      <c r="F52" s="482">
        <v>17329</v>
      </c>
      <c r="G52" s="494">
        <v>17329.050976166654</v>
      </c>
      <c r="H52" s="482">
        <v>12523.068799999999</v>
      </c>
      <c r="I52" s="482">
        <v>15856</v>
      </c>
      <c r="K52" s="697">
        <v>20414</v>
      </c>
    </row>
    <row r="53" spans="1:11" s="479" customFormat="1">
      <c r="A53" s="480">
        <v>48</v>
      </c>
      <c r="B53" s="493" t="s">
        <v>183</v>
      </c>
      <c r="C53" s="695">
        <v>18360</v>
      </c>
      <c r="D53" s="504">
        <v>18025</v>
      </c>
      <c r="E53" s="504">
        <v>13891</v>
      </c>
      <c r="F53" s="482">
        <v>16901</v>
      </c>
      <c r="G53" s="494">
        <v>14812.502629621078</v>
      </c>
      <c r="H53" s="482">
        <v>13977.880399999998</v>
      </c>
      <c r="I53" s="482">
        <v>17698</v>
      </c>
      <c r="K53" s="697">
        <v>17279</v>
      </c>
    </row>
    <row r="54" spans="1:11" s="479" customFormat="1" ht="14.5" thickBot="1">
      <c r="A54" s="480">
        <v>49</v>
      </c>
      <c r="B54" s="495" t="s">
        <v>184</v>
      </c>
      <c r="C54" s="696">
        <v>14819</v>
      </c>
      <c r="D54" s="504">
        <v>11766</v>
      </c>
      <c r="E54" s="504">
        <v>11503</v>
      </c>
      <c r="F54" s="482">
        <v>10388</v>
      </c>
      <c r="G54" s="494">
        <v>10388.40070294261</v>
      </c>
      <c r="H54" s="482">
        <v>8039.5595999999996</v>
      </c>
      <c r="I54" s="482">
        <v>10102</v>
      </c>
      <c r="K54" s="699">
        <f>12471+1</f>
        <v>12472</v>
      </c>
    </row>
    <row r="55" spans="1:11" s="479" customFormat="1">
      <c r="A55" s="489"/>
      <c r="B55" s="496" t="s">
        <v>185</v>
      </c>
      <c r="C55" s="492">
        <f t="shared" ref="C55:I55" si="1">SUM(C39:C54)</f>
        <v>375375</v>
      </c>
      <c r="D55" s="506">
        <f t="shared" si="1"/>
        <v>379497</v>
      </c>
      <c r="E55" s="506">
        <f t="shared" si="1"/>
        <v>355077</v>
      </c>
      <c r="F55" s="491">
        <f t="shared" si="1"/>
        <v>354577</v>
      </c>
      <c r="G55" s="491">
        <f t="shared" si="1"/>
        <v>348000.00000000006</v>
      </c>
      <c r="H55" s="491">
        <f t="shared" si="1"/>
        <v>291368.46259999997</v>
      </c>
      <c r="I55" s="491">
        <f t="shared" si="1"/>
        <v>368837</v>
      </c>
    </row>
    <row r="56" spans="1:11" s="479" customFormat="1" ht="13.5" customHeight="1">
      <c r="A56" s="765" t="s">
        <v>186</v>
      </c>
      <c r="B56" s="765"/>
      <c r="C56" s="483">
        <v>38000</v>
      </c>
      <c r="D56" s="504">
        <v>35000</v>
      </c>
      <c r="E56" s="504">
        <v>35000</v>
      </c>
      <c r="F56" s="482">
        <v>35000</v>
      </c>
      <c r="G56" s="482">
        <v>24000</v>
      </c>
      <c r="H56" s="482">
        <v>18000</v>
      </c>
      <c r="I56" s="482">
        <v>24000</v>
      </c>
    </row>
    <row r="57" spans="1:11" s="479" customFormat="1">
      <c r="A57" s="765" t="s">
        <v>187</v>
      </c>
      <c r="B57" s="765"/>
      <c r="C57" s="499">
        <v>24450</v>
      </c>
      <c r="D57" s="504">
        <v>22370</v>
      </c>
      <c r="E57" s="504">
        <v>41811</v>
      </c>
      <c r="F57" s="482">
        <v>20505</v>
      </c>
      <c r="G57" s="637">
        <v>44355</v>
      </c>
      <c r="H57" s="637">
        <v>0</v>
      </c>
      <c r="I57" s="637">
        <f>900000-889488</f>
        <v>10512</v>
      </c>
    </row>
    <row r="58" spans="1:11" s="472" customFormat="1">
      <c r="A58" s="489"/>
      <c r="B58" s="496" t="s">
        <v>188</v>
      </c>
      <c r="C58" s="492">
        <f t="shared" ref="C58:I58" si="2">C38+C55+SUM(C56:C57)</f>
        <v>950000</v>
      </c>
      <c r="D58" s="506">
        <f t="shared" si="2"/>
        <v>950000</v>
      </c>
      <c r="E58" s="506">
        <f t="shared" si="2"/>
        <v>920826</v>
      </c>
      <c r="F58" s="491">
        <f t="shared" si="2"/>
        <v>900000</v>
      </c>
      <c r="G58" s="491">
        <f t="shared" si="2"/>
        <v>900000.21167736768</v>
      </c>
      <c r="H58" s="491">
        <f t="shared" si="2"/>
        <v>700000.4227</v>
      </c>
      <c r="I58" s="491">
        <f t="shared" si="2"/>
        <v>900000</v>
      </c>
    </row>
    <row r="59" spans="1:11" s="479" customFormat="1">
      <c r="B59" s="16"/>
      <c r="C59" s="474"/>
      <c r="D59" s="470"/>
      <c r="E59" s="505"/>
      <c r="F59" s="500"/>
      <c r="G59" s="362"/>
      <c r="H59" s="362"/>
      <c r="I59" s="362"/>
    </row>
    <row r="60" spans="1:11">
      <c r="A60" s="501" t="s">
        <v>189</v>
      </c>
      <c r="E60" s="505"/>
    </row>
    <row r="61" spans="1:11">
      <c r="A61" s="501" t="s">
        <v>190</v>
      </c>
      <c r="E61" s="505"/>
    </row>
  </sheetData>
  <mergeCells count="3">
    <mergeCell ref="B1:C1"/>
    <mergeCell ref="A56:B56"/>
    <mergeCell ref="A57:B57"/>
  </mergeCells>
  <pageMargins left="0.70866141732283472" right="0.31496062992125984" top="0.74803149606299213" bottom="0.74803149606299213" header="0.31496062992125984" footer="0.31496062992125984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56"/>
  <sheetViews>
    <sheetView topLeftCell="A22" zoomScale="110" zoomScaleNormal="110" workbookViewId="0">
      <selection sqref="A1:XFD1048576"/>
    </sheetView>
  </sheetViews>
  <sheetFormatPr defaultColWidth="9.26953125" defaultRowHeight="11.5"/>
  <cols>
    <col min="1" max="1" width="3.1796875" style="23" customWidth="1"/>
    <col min="2" max="2" width="3.1796875" style="140" customWidth="1"/>
    <col min="3" max="3" width="11.453125" style="23" customWidth="1"/>
    <col min="4" max="4" width="4.1796875" style="141" customWidth="1"/>
    <col min="5" max="5" width="7" style="182" customWidth="1"/>
    <col min="6" max="6" width="6.26953125" style="182" customWidth="1"/>
    <col min="7" max="7" width="5.26953125" style="182" customWidth="1"/>
    <col min="8" max="8" width="5.1796875" style="182" customWidth="1"/>
    <col min="9" max="9" width="5.81640625" style="23" customWidth="1"/>
    <col min="10" max="10" width="3.54296875" style="23" customWidth="1"/>
    <col min="11" max="11" width="8.1796875" style="23" customWidth="1"/>
    <col min="12" max="12" width="6.7265625" style="23" customWidth="1"/>
    <col min="13" max="13" width="7.26953125" style="141" customWidth="1"/>
    <col min="14" max="14" width="4.453125" style="23" customWidth="1"/>
    <col min="15" max="15" width="6.54296875" style="23" customWidth="1"/>
    <col min="16" max="16" width="6.26953125" style="23" customWidth="1"/>
    <col min="17" max="17" width="7.26953125" style="23" customWidth="1"/>
    <col min="18" max="18" width="6" style="23" customWidth="1"/>
    <col min="19" max="19" width="7.26953125" style="23" customWidth="1"/>
    <col min="20" max="20" width="7.26953125" style="183" customWidth="1"/>
    <col min="21" max="21" width="6.7265625" style="23" customWidth="1"/>
    <col min="22" max="22" width="5.1796875" style="23" customWidth="1"/>
    <col min="23" max="23" width="7.453125" style="141" customWidth="1"/>
    <col min="24" max="24" width="7.7265625" style="365" customWidth="1"/>
    <col min="25" max="25" width="9.26953125" style="22"/>
    <col min="26" max="16384" width="9.26953125" style="23"/>
  </cols>
  <sheetData>
    <row r="1" spans="1:25">
      <c r="A1" s="23" t="s">
        <v>269</v>
      </c>
      <c r="W1" s="20" t="s">
        <v>277</v>
      </c>
      <c r="X1" s="184"/>
    </row>
    <row r="2" spans="1:25" ht="13.5" customHeight="1" thickBot="1">
      <c r="A2" s="185"/>
      <c r="B2" s="186"/>
      <c r="C2" s="185"/>
      <c r="D2" s="187"/>
      <c r="E2" s="185"/>
      <c r="F2" s="185"/>
      <c r="G2" s="185"/>
      <c r="H2" s="185"/>
      <c r="I2" s="185"/>
      <c r="J2" s="185"/>
      <c r="K2" s="185"/>
      <c r="L2" s="185"/>
      <c r="M2" s="187"/>
      <c r="N2" s="185"/>
      <c r="O2" s="185"/>
      <c r="P2" s="185"/>
      <c r="Q2" s="185"/>
      <c r="R2" s="185"/>
      <c r="S2" s="185"/>
      <c r="T2" s="188"/>
      <c r="U2" s="766"/>
      <c r="V2" s="766"/>
      <c r="W2" s="767"/>
      <c r="X2" s="189"/>
    </row>
    <row r="3" spans="1:25" ht="12" thickBot="1">
      <c r="A3" s="190"/>
      <c r="B3" s="191"/>
      <c r="C3" s="192" t="s">
        <v>83</v>
      </c>
      <c r="D3" s="193" t="s">
        <v>1</v>
      </c>
      <c r="E3" s="194" t="s">
        <v>84</v>
      </c>
      <c r="F3" s="195" t="s">
        <v>85</v>
      </c>
      <c r="G3" s="768" t="s">
        <v>86</v>
      </c>
      <c r="H3" s="769"/>
      <c r="I3" s="196" t="s">
        <v>2</v>
      </c>
      <c r="J3" s="197"/>
      <c r="K3" s="196" t="s">
        <v>274</v>
      </c>
      <c r="L3" s="196"/>
      <c r="M3" s="198"/>
      <c r="N3" s="196"/>
      <c r="O3" s="199" t="s">
        <v>3</v>
      </c>
      <c r="P3" s="200" t="s">
        <v>4</v>
      </c>
      <c r="Q3" s="201" t="s">
        <v>5</v>
      </c>
      <c r="R3" s="202" t="s">
        <v>6</v>
      </c>
      <c r="S3" s="39" t="s">
        <v>273</v>
      </c>
      <c r="T3" s="40" t="s">
        <v>273</v>
      </c>
      <c r="U3" s="203"/>
      <c r="V3" s="204"/>
      <c r="W3" s="3" t="s">
        <v>133</v>
      </c>
      <c r="X3" s="4"/>
    </row>
    <row r="4" spans="1:25" s="56" customFormat="1" ht="58" thickBot="1">
      <c r="A4" s="47"/>
      <c r="B4" s="205" t="s">
        <v>8</v>
      </c>
      <c r="C4" s="52" t="s">
        <v>87</v>
      </c>
      <c r="D4" s="206" t="s">
        <v>88</v>
      </c>
      <c r="E4" s="207" t="s">
        <v>89</v>
      </c>
      <c r="F4" s="208" t="s">
        <v>90</v>
      </c>
      <c r="G4" s="209" t="s">
        <v>91</v>
      </c>
      <c r="H4" s="210" t="s">
        <v>92</v>
      </c>
      <c r="I4" s="211" t="s">
        <v>93</v>
      </c>
      <c r="J4" s="212" t="s">
        <v>94</v>
      </c>
      <c r="K4" s="213" t="s">
        <v>13</v>
      </c>
      <c r="L4" s="214" t="s">
        <v>95</v>
      </c>
      <c r="M4" s="215" t="s">
        <v>96</v>
      </c>
      <c r="N4" s="216" t="s">
        <v>94</v>
      </c>
      <c r="O4" s="217" t="s">
        <v>16</v>
      </c>
      <c r="P4" s="214" t="s">
        <v>17</v>
      </c>
      <c r="Q4" s="214" t="s">
        <v>97</v>
      </c>
      <c r="R4" s="218" t="s">
        <v>98</v>
      </c>
      <c r="S4" s="1" t="s">
        <v>99</v>
      </c>
      <c r="T4" s="219" t="s">
        <v>21</v>
      </c>
      <c r="U4" s="770" t="s">
        <v>132</v>
      </c>
      <c r="V4" s="770"/>
      <c r="W4" s="5" t="s">
        <v>100</v>
      </c>
      <c r="X4" s="6"/>
      <c r="Y4" s="55"/>
    </row>
    <row r="5" spans="1:25" s="237" customFormat="1" ht="17.25" customHeight="1" thickBot="1">
      <c r="A5" s="220">
        <f>SUM(A6:A30)</f>
        <v>16</v>
      </c>
      <c r="B5" s="221"/>
      <c r="C5" s="222" t="s">
        <v>24</v>
      </c>
      <c r="D5" s="223">
        <f t="shared" ref="D5:R5" si="0">SUM(D6:D21)</f>
        <v>233</v>
      </c>
      <c r="E5" s="633">
        <f t="shared" si="0"/>
        <v>140529</v>
      </c>
      <c r="F5" s="225">
        <f t="shared" si="0"/>
        <v>92853</v>
      </c>
      <c r="G5" s="226"/>
      <c r="H5" s="227"/>
      <c r="I5" s="634">
        <f t="shared" si="0"/>
        <v>20100</v>
      </c>
      <c r="J5" s="229">
        <f t="shared" si="0"/>
        <v>90</v>
      </c>
      <c r="K5" s="635">
        <f t="shared" si="0"/>
        <v>1187462</v>
      </c>
      <c r="L5" s="228">
        <f t="shared" si="0"/>
        <v>355077</v>
      </c>
      <c r="M5" s="634">
        <f t="shared" si="0"/>
        <v>832385</v>
      </c>
      <c r="N5" s="223">
        <f t="shared" si="0"/>
        <v>109</v>
      </c>
      <c r="O5" s="8">
        <f t="shared" si="0"/>
        <v>112608</v>
      </c>
      <c r="P5" s="228" t="e">
        <f t="shared" si="0"/>
        <v>#REF!</v>
      </c>
      <c r="Q5" s="228" t="e">
        <f>SUM(Q6:Q21)</f>
        <v>#REF!</v>
      </c>
      <c r="R5" s="230" t="e">
        <f t="shared" si="0"/>
        <v>#REF!</v>
      </c>
      <c r="S5" s="231" t="e">
        <f>SUM(S6:S21)</f>
        <v>#REF!</v>
      </c>
      <c r="T5" s="232">
        <f>SUM(T6:T21)</f>
        <v>375375</v>
      </c>
      <c r="U5" s="233" t="e">
        <f>+S5-W5</f>
        <v>#REF!</v>
      </c>
      <c r="V5" s="234" t="e">
        <f>+U5/W5*100</f>
        <v>#REF!</v>
      </c>
      <c r="W5" s="235">
        <f>SUM(W6:W21)</f>
        <v>379497</v>
      </c>
      <c r="X5" s="326"/>
      <c r="Y5" s="236"/>
    </row>
    <row r="6" spans="1:25" ht="14.15" customHeight="1">
      <c r="A6" s="238">
        <v>1</v>
      </c>
      <c r="B6" s="239">
        <v>1</v>
      </c>
      <c r="C6" s="240" t="s">
        <v>101</v>
      </c>
      <c r="D6" s="241">
        <v>20</v>
      </c>
      <c r="E6" s="242">
        <v>27644</v>
      </c>
      <c r="F6" s="243">
        <v>17154</v>
      </c>
      <c r="G6" s="244">
        <f>+I6/E6*100</f>
        <v>16.010707567645781</v>
      </c>
      <c r="H6" s="245">
        <f>+I6/F6*100</f>
        <v>25.801562317826747</v>
      </c>
      <c r="I6" s="367">
        <v>4426</v>
      </c>
      <c r="J6" s="247">
        <v>10</v>
      </c>
      <c r="K6" s="646">
        <v>107627</v>
      </c>
      <c r="L6" s="258">
        <v>37827</v>
      </c>
      <c r="M6" s="652">
        <f>+K6-L6</f>
        <v>69800</v>
      </c>
      <c r="N6" s="654">
        <v>9</v>
      </c>
      <c r="O6" s="251">
        <f t="shared" ref="O6:O21" si="1">+$D$25</f>
        <v>7038</v>
      </c>
      <c r="P6" s="252" t="e">
        <f t="shared" ref="P6:P21" si="2">+$M$26*D6/$D$5</f>
        <v>#REF!</v>
      </c>
      <c r="Q6" s="252" t="e">
        <f t="shared" ref="Q6:Q21" si="3">+$M$27*J6/$J$5</f>
        <v>#REF!</v>
      </c>
      <c r="R6" s="253" t="e">
        <f t="shared" ref="R6:R21" si="4">+$M$28*N6/$N$5</f>
        <v>#REF!</v>
      </c>
      <c r="S6" s="254" t="e">
        <f t="shared" ref="S6:S21" si="5">SUM(O6:Q6)+R6</f>
        <v>#REF!</v>
      </c>
      <c r="T6" s="664">
        <v>32730</v>
      </c>
      <c r="U6" s="675" t="e">
        <f>+S6-W6</f>
        <v>#REF!</v>
      </c>
      <c r="V6" s="676" t="e">
        <f>+U6/W6*100</f>
        <v>#REF!</v>
      </c>
      <c r="W6" s="645">
        <v>37827</v>
      </c>
      <c r="X6" s="11"/>
      <c r="Y6" s="71" t="e">
        <f>+U6</f>
        <v>#REF!</v>
      </c>
    </row>
    <row r="7" spans="1:25" ht="14.15" customHeight="1">
      <c r="A7" s="259">
        <v>1</v>
      </c>
      <c r="B7" s="260">
        <v>2</v>
      </c>
      <c r="C7" s="261" t="s">
        <v>102</v>
      </c>
      <c r="D7" s="641">
        <v>20</v>
      </c>
      <c r="E7" s="263">
        <v>21970</v>
      </c>
      <c r="F7" s="264">
        <v>11627</v>
      </c>
      <c r="G7" s="265">
        <f t="shared" ref="G7:G21" si="6">+I7/E7*100</f>
        <v>11.442876649977242</v>
      </c>
      <c r="H7" s="266">
        <f t="shared" ref="H7:H21" si="7">+I7/F7*100</f>
        <v>21.622086522748774</v>
      </c>
      <c r="I7" s="271">
        <v>2514</v>
      </c>
      <c r="J7" s="286">
        <v>9</v>
      </c>
      <c r="K7" s="647">
        <v>209970</v>
      </c>
      <c r="L7" s="280">
        <v>34512</v>
      </c>
      <c r="M7" s="271">
        <f t="shared" ref="M7:M21" si="8">+K7-L7</f>
        <v>175458</v>
      </c>
      <c r="N7" s="272">
        <v>10</v>
      </c>
      <c r="O7" s="273">
        <f t="shared" si="1"/>
        <v>7038</v>
      </c>
      <c r="P7" s="274" t="e">
        <f t="shared" si="2"/>
        <v>#REF!</v>
      </c>
      <c r="Q7" s="274" t="e">
        <f t="shared" si="3"/>
        <v>#REF!</v>
      </c>
      <c r="R7" s="275" t="e">
        <f t="shared" si="4"/>
        <v>#REF!</v>
      </c>
      <c r="S7" s="276" t="e">
        <f t="shared" si="5"/>
        <v>#REF!</v>
      </c>
      <c r="T7" s="288">
        <v>31786</v>
      </c>
      <c r="U7" s="663" t="e">
        <f t="shared" ref="U7:U21" si="9">+S7-W7</f>
        <v>#REF!</v>
      </c>
      <c r="V7" s="438" t="e">
        <f t="shared" ref="V7:V21" si="10">+U7/W7*100</f>
        <v>#REF!</v>
      </c>
      <c r="W7" s="645">
        <v>34512</v>
      </c>
      <c r="X7" s="11"/>
      <c r="Y7" s="71" t="e">
        <f>+U7</f>
        <v>#REF!</v>
      </c>
    </row>
    <row r="8" spans="1:25" ht="14.15" customHeight="1">
      <c r="A8" s="259">
        <v>1</v>
      </c>
      <c r="B8" s="260">
        <v>3</v>
      </c>
      <c r="C8" s="281" t="s">
        <v>103</v>
      </c>
      <c r="D8" s="282">
        <v>20</v>
      </c>
      <c r="E8" s="283">
        <v>21979</v>
      </c>
      <c r="F8" s="284">
        <v>19184</v>
      </c>
      <c r="G8" s="265">
        <f t="shared" si="6"/>
        <v>14.595750489103235</v>
      </c>
      <c r="H8" s="266">
        <f t="shared" si="7"/>
        <v>16.722268557130942</v>
      </c>
      <c r="I8" s="267">
        <v>3208</v>
      </c>
      <c r="J8" s="286">
        <v>9</v>
      </c>
      <c r="K8" s="647">
        <v>112274</v>
      </c>
      <c r="L8" s="280">
        <v>35719</v>
      </c>
      <c r="M8" s="271">
        <f t="shared" si="8"/>
        <v>76555</v>
      </c>
      <c r="N8" s="287">
        <v>9</v>
      </c>
      <c r="O8" s="273">
        <f t="shared" si="1"/>
        <v>7038</v>
      </c>
      <c r="P8" s="274" t="e">
        <f t="shared" si="2"/>
        <v>#REF!</v>
      </c>
      <c r="Q8" s="274" t="e">
        <f t="shared" si="3"/>
        <v>#REF!</v>
      </c>
      <c r="R8" s="275" t="e">
        <f t="shared" si="4"/>
        <v>#REF!</v>
      </c>
      <c r="S8" s="276" t="e">
        <f t="shared" si="5"/>
        <v>#REF!</v>
      </c>
      <c r="T8" s="288">
        <v>31270</v>
      </c>
      <c r="U8" s="663" t="e">
        <f t="shared" si="9"/>
        <v>#REF!</v>
      </c>
      <c r="V8" s="438" t="e">
        <f t="shared" si="10"/>
        <v>#REF!</v>
      </c>
      <c r="W8" s="645">
        <v>34615</v>
      </c>
      <c r="X8" s="11"/>
      <c r="Y8" s="71" t="e">
        <f>+U8</f>
        <v>#REF!</v>
      </c>
    </row>
    <row r="9" spans="1:25" ht="14.15" customHeight="1">
      <c r="A9" s="259">
        <v>1</v>
      </c>
      <c r="B9" s="260">
        <v>4</v>
      </c>
      <c r="C9" s="291" t="s">
        <v>104</v>
      </c>
      <c r="D9" s="299">
        <v>21</v>
      </c>
      <c r="E9" s="263">
        <v>6589</v>
      </c>
      <c r="F9" s="264">
        <v>5042</v>
      </c>
      <c r="G9" s="265">
        <f t="shared" si="6"/>
        <v>18.166641371983609</v>
      </c>
      <c r="H9" s="266">
        <f t="shared" si="7"/>
        <v>23.740579135263783</v>
      </c>
      <c r="I9" s="271">
        <v>1197</v>
      </c>
      <c r="J9" s="268">
        <v>7</v>
      </c>
      <c r="K9" s="647">
        <v>49059</v>
      </c>
      <c r="L9" s="280">
        <v>24924</v>
      </c>
      <c r="M9" s="271">
        <f t="shared" si="8"/>
        <v>24135</v>
      </c>
      <c r="N9" s="294">
        <v>7</v>
      </c>
      <c r="O9" s="273">
        <f t="shared" si="1"/>
        <v>7038</v>
      </c>
      <c r="P9" s="274" t="e">
        <f t="shared" si="2"/>
        <v>#REF!</v>
      </c>
      <c r="Q9" s="274" t="e">
        <f t="shared" si="3"/>
        <v>#REF!</v>
      </c>
      <c r="R9" s="275" t="e">
        <f t="shared" si="4"/>
        <v>#REF!</v>
      </c>
      <c r="S9" s="276" t="e">
        <f t="shared" si="5"/>
        <v>#REF!</v>
      </c>
      <c r="T9" s="277">
        <v>27639</v>
      </c>
      <c r="U9" s="301" t="e">
        <f t="shared" si="9"/>
        <v>#REF!</v>
      </c>
      <c r="V9" s="302" t="e">
        <f t="shared" si="10"/>
        <v>#REF!</v>
      </c>
      <c r="W9" s="645">
        <v>27193</v>
      </c>
      <c r="X9" s="11"/>
      <c r="Y9" s="71"/>
    </row>
    <row r="10" spans="1:25" ht="14.15" customHeight="1">
      <c r="A10" s="259">
        <v>1</v>
      </c>
      <c r="B10" s="260">
        <v>5</v>
      </c>
      <c r="C10" s="291" t="s">
        <v>105</v>
      </c>
      <c r="D10" s="292">
        <v>19</v>
      </c>
      <c r="E10" s="263">
        <v>8249</v>
      </c>
      <c r="F10" s="264">
        <v>5847</v>
      </c>
      <c r="G10" s="265">
        <f t="shared" si="6"/>
        <v>14.971511698387681</v>
      </c>
      <c r="H10" s="266">
        <f t="shared" si="7"/>
        <v>21.121942876688902</v>
      </c>
      <c r="I10" s="285">
        <v>1235</v>
      </c>
      <c r="J10" s="268">
        <v>7</v>
      </c>
      <c r="K10" s="647">
        <v>38008</v>
      </c>
      <c r="L10" s="280">
        <v>23915</v>
      </c>
      <c r="M10" s="271">
        <f>+K10-L10</f>
        <v>14093</v>
      </c>
      <c r="N10" s="287">
        <v>6</v>
      </c>
      <c r="O10" s="273">
        <f t="shared" si="1"/>
        <v>7038</v>
      </c>
      <c r="P10" s="274" t="e">
        <f t="shared" si="2"/>
        <v>#REF!</v>
      </c>
      <c r="Q10" s="274" t="e">
        <f t="shared" si="3"/>
        <v>#REF!</v>
      </c>
      <c r="R10" s="275" t="e">
        <f t="shared" si="4"/>
        <v>#REF!</v>
      </c>
      <c r="S10" s="276" t="e">
        <f t="shared" si="5"/>
        <v>#REF!</v>
      </c>
      <c r="T10" s="288">
        <v>26478</v>
      </c>
      <c r="U10" s="289" t="e">
        <f t="shared" si="9"/>
        <v>#REF!</v>
      </c>
      <c r="V10" s="435" t="e">
        <f t="shared" si="10"/>
        <v>#REF!</v>
      </c>
      <c r="W10" s="645">
        <v>27552</v>
      </c>
      <c r="X10" s="11"/>
      <c r="Y10" s="71" t="e">
        <f>+U10</f>
        <v>#REF!</v>
      </c>
    </row>
    <row r="11" spans="1:25" ht="14.15" customHeight="1">
      <c r="A11" s="259">
        <v>1</v>
      </c>
      <c r="B11" s="260">
        <v>6</v>
      </c>
      <c r="C11" s="297" t="s">
        <v>106</v>
      </c>
      <c r="D11" s="299">
        <v>13</v>
      </c>
      <c r="E11" s="263">
        <v>8533</v>
      </c>
      <c r="F11" s="264">
        <v>6062</v>
      </c>
      <c r="G11" s="265">
        <f t="shared" si="6"/>
        <v>21.809445681471932</v>
      </c>
      <c r="H11" s="266">
        <f t="shared" si="7"/>
        <v>30.699439129000329</v>
      </c>
      <c r="I11" s="271">
        <v>1861</v>
      </c>
      <c r="J11" s="286">
        <v>8</v>
      </c>
      <c r="K11" s="647">
        <v>33080</v>
      </c>
      <c r="L11" s="280">
        <v>26157</v>
      </c>
      <c r="M11" s="271">
        <f>+K11-L11</f>
        <v>6923</v>
      </c>
      <c r="N11" s="287">
        <v>4</v>
      </c>
      <c r="O11" s="273">
        <f t="shared" si="1"/>
        <v>7038</v>
      </c>
      <c r="P11" s="274" t="e">
        <f t="shared" si="2"/>
        <v>#REF!</v>
      </c>
      <c r="Q11" s="274" t="e">
        <f t="shared" si="3"/>
        <v>#REF!</v>
      </c>
      <c r="R11" s="275" t="e">
        <f t="shared" si="4"/>
        <v>#REF!</v>
      </c>
      <c r="S11" s="276" t="e">
        <f t="shared" si="5"/>
        <v>#REF!</v>
      </c>
      <c r="T11" s="288">
        <v>24972</v>
      </c>
      <c r="U11" s="677" t="e">
        <f t="shared" si="9"/>
        <v>#REF!</v>
      </c>
      <c r="V11" s="435" t="e">
        <f t="shared" si="10"/>
        <v>#REF!</v>
      </c>
      <c r="W11" s="645">
        <v>27750</v>
      </c>
      <c r="X11" s="11"/>
      <c r="Y11" s="71" t="e">
        <f>+U11</f>
        <v>#REF!</v>
      </c>
    </row>
    <row r="12" spans="1:25" ht="14.5" customHeight="1">
      <c r="A12" s="259">
        <v>1</v>
      </c>
      <c r="B12" s="260">
        <v>7</v>
      </c>
      <c r="C12" s="297" t="s">
        <v>107</v>
      </c>
      <c r="D12" s="292">
        <v>11</v>
      </c>
      <c r="E12" s="263">
        <v>6185</v>
      </c>
      <c r="F12" s="264">
        <v>3301</v>
      </c>
      <c r="G12" s="265">
        <f t="shared" si="6"/>
        <v>10.994341147938561</v>
      </c>
      <c r="H12" s="266">
        <f t="shared" si="7"/>
        <v>20.59981823689791</v>
      </c>
      <c r="I12" s="285">
        <v>680</v>
      </c>
      <c r="J12" s="268">
        <v>5</v>
      </c>
      <c r="K12" s="647">
        <v>59011</v>
      </c>
      <c r="L12" s="280">
        <v>19071</v>
      </c>
      <c r="M12" s="271">
        <f t="shared" si="8"/>
        <v>39940</v>
      </c>
      <c r="N12" s="294">
        <v>8</v>
      </c>
      <c r="O12" s="273">
        <f t="shared" si="1"/>
        <v>7038</v>
      </c>
      <c r="P12" s="274" t="e">
        <f t="shared" si="2"/>
        <v>#REF!</v>
      </c>
      <c r="Q12" s="274" t="e">
        <f t="shared" si="3"/>
        <v>#REF!</v>
      </c>
      <c r="R12" s="275" t="e">
        <f t="shared" si="4"/>
        <v>#REF!</v>
      </c>
      <c r="S12" s="276" t="e">
        <f t="shared" si="5"/>
        <v>#REF!</v>
      </c>
      <c r="T12" s="277">
        <v>22014</v>
      </c>
      <c r="U12" s="301" t="e">
        <f t="shared" si="9"/>
        <v>#REF!</v>
      </c>
      <c r="V12" s="302" t="e">
        <f t="shared" si="10"/>
        <v>#REF!</v>
      </c>
      <c r="W12" s="645">
        <v>19313</v>
      </c>
      <c r="X12" s="11"/>
      <c r="Y12" s="71"/>
    </row>
    <row r="13" spans="1:25" ht="14.15" customHeight="1">
      <c r="A13" s="259">
        <v>1</v>
      </c>
      <c r="B13" s="260">
        <v>8</v>
      </c>
      <c r="C13" s="291" t="s">
        <v>108</v>
      </c>
      <c r="D13" s="299">
        <v>13</v>
      </c>
      <c r="E13" s="263">
        <v>4101</v>
      </c>
      <c r="F13" s="264">
        <v>2222</v>
      </c>
      <c r="G13" s="265">
        <f t="shared" si="6"/>
        <v>14.484272128749085</v>
      </c>
      <c r="H13" s="266">
        <f t="shared" si="7"/>
        <v>26.732673267326735</v>
      </c>
      <c r="I13" s="271">
        <v>594</v>
      </c>
      <c r="J13" s="286">
        <v>4</v>
      </c>
      <c r="K13" s="647">
        <v>177832</v>
      </c>
      <c r="L13" s="280">
        <v>19268</v>
      </c>
      <c r="M13" s="271">
        <f t="shared" si="8"/>
        <v>158564</v>
      </c>
      <c r="N13" s="294">
        <v>10</v>
      </c>
      <c r="O13" s="273">
        <f t="shared" si="1"/>
        <v>7038</v>
      </c>
      <c r="P13" s="274" t="e">
        <f t="shared" si="2"/>
        <v>#REF!</v>
      </c>
      <c r="Q13" s="274" t="e">
        <f t="shared" si="3"/>
        <v>#REF!</v>
      </c>
      <c r="R13" s="275" t="e">
        <f t="shared" si="4"/>
        <v>#REF!</v>
      </c>
      <c r="S13" s="276" t="e">
        <f t="shared" si="5"/>
        <v>#REF!</v>
      </c>
      <c r="T13" s="288">
        <v>22232</v>
      </c>
      <c r="U13" s="677" t="e">
        <f t="shared" si="9"/>
        <v>#REF!</v>
      </c>
      <c r="V13" s="435" t="e">
        <f t="shared" si="10"/>
        <v>#REF!</v>
      </c>
      <c r="W13" s="645">
        <v>22225</v>
      </c>
      <c r="X13" s="11"/>
      <c r="Y13" s="71" t="e">
        <f>+U13</f>
        <v>#REF!</v>
      </c>
    </row>
    <row r="14" spans="1:25" ht="14.15" customHeight="1">
      <c r="A14" s="259">
        <v>1</v>
      </c>
      <c r="B14" s="260">
        <v>9</v>
      </c>
      <c r="C14" s="297" t="s">
        <v>109</v>
      </c>
      <c r="D14" s="299">
        <v>14</v>
      </c>
      <c r="E14" s="263">
        <v>2041</v>
      </c>
      <c r="F14" s="264">
        <v>1597</v>
      </c>
      <c r="G14" s="265">
        <f t="shared" si="6"/>
        <v>34.149926506614406</v>
      </c>
      <c r="H14" s="266">
        <f t="shared" si="7"/>
        <v>43.644333124608643</v>
      </c>
      <c r="I14" s="271">
        <v>697</v>
      </c>
      <c r="J14" s="286">
        <v>5</v>
      </c>
      <c r="K14" s="647">
        <v>40612</v>
      </c>
      <c r="L14" s="280">
        <v>19962</v>
      </c>
      <c r="M14" s="271">
        <f t="shared" si="8"/>
        <v>20650</v>
      </c>
      <c r="N14" s="294">
        <v>6</v>
      </c>
      <c r="O14" s="273">
        <f t="shared" si="1"/>
        <v>7038</v>
      </c>
      <c r="P14" s="274" t="e">
        <f t="shared" si="2"/>
        <v>#REF!</v>
      </c>
      <c r="Q14" s="274" t="e">
        <f t="shared" si="3"/>
        <v>#REF!</v>
      </c>
      <c r="R14" s="275" t="e">
        <f t="shared" si="4"/>
        <v>#REF!</v>
      </c>
      <c r="S14" s="276" t="e">
        <f t="shared" si="5"/>
        <v>#REF!</v>
      </c>
      <c r="T14" s="288">
        <v>21948</v>
      </c>
      <c r="U14" s="677" t="e">
        <f t="shared" si="9"/>
        <v>#REF!</v>
      </c>
      <c r="V14" s="435" t="e">
        <f t="shared" si="10"/>
        <v>#REF!</v>
      </c>
      <c r="W14" s="645">
        <v>22778</v>
      </c>
      <c r="X14" s="11"/>
      <c r="Y14" s="71" t="e">
        <f>+U14</f>
        <v>#REF!</v>
      </c>
    </row>
    <row r="15" spans="1:25" ht="14.15" customHeight="1">
      <c r="A15" s="259">
        <v>1</v>
      </c>
      <c r="B15" s="260">
        <v>10</v>
      </c>
      <c r="C15" s="297" t="s">
        <v>110</v>
      </c>
      <c r="D15" s="292">
        <v>12</v>
      </c>
      <c r="E15" s="263">
        <v>7046</v>
      </c>
      <c r="F15" s="264">
        <v>4209</v>
      </c>
      <c r="G15" s="265">
        <f t="shared" si="6"/>
        <v>10.261141072949192</v>
      </c>
      <c r="H15" s="266">
        <f t="shared" si="7"/>
        <v>17.177476835352813</v>
      </c>
      <c r="I15" s="285">
        <v>723</v>
      </c>
      <c r="J15" s="268">
        <v>5</v>
      </c>
      <c r="K15" s="647">
        <v>183594</v>
      </c>
      <c r="L15" s="280">
        <v>20475</v>
      </c>
      <c r="M15" s="267">
        <f t="shared" si="8"/>
        <v>163119</v>
      </c>
      <c r="N15" s="294">
        <v>10</v>
      </c>
      <c r="O15" s="273">
        <f t="shared" si="1"/>
        <v>7038</v>
      </c>
      <c r="P15" s="274" t="e">
        <f t="shared" si="2"/>
        <v>#REF!</v>
      </c>
      <c r="Q15" s="274" t="e">
        <f t="shared" si="3"/>
        <v>#REF!</v>
      </c>
      <c r="R15" s="275" t="e">
        <f t="shared" si="4"/>
        <v>#REF!</v>
      </c>
      <c r="S15" s="276" t="e">
        <f t="shared" si="5"/>
        <v>#REF!</v>
      </c>
      <c r="T15" s="277">
        <v>23369</v>
      </c>
      <c r="U15" s="301" t="e">
        <f t="shared" si="9"/>
        <v>#REF!</v>
      </c>
      <c r="V15" s="302" t="e">
        <f t="shared" si="10"/>
        <v>#REF!</v>
      </c>
      <c r="W15" s="645">
        <v>21592</v>
      </c>
      <c r="X15" s="11"/>
      <c r="Y15" s="71"/>
    </row>
    <row r="16" spans="1:25" ht="14.15" customHeight="1">
      <c r="A16" s="259">
        <v>1</v>
      </c>
      <c r="B16" s="260">
        <v>11</v>
      </c>
      <c r="C16" s="291" t="s">
        <v>111</v>
      </c>
      <c r="D16" s="292">
        <v>14</v>
      </c>
      <c r="E16" s="263">
        <v>7384</v>
      </c>
      <c r="F16" s="264">
        <v>3668</v>
      </c>
      <c r="G16" s="265">
        <f t="shared" si="6"/>
        <v>7.5433369447453948</v>
      </c>
      <c r="H16" s="266">
        <f t="shared" si="7"/>
        <v>15.185387131952016</v>
      </c>
      <c r="I16" s="285">
        <v>557</v>
      </c>
      <c r="J16" s="286">
        <v>4</v>
      </c>
      <c r="K16" s="647">
        <v>35911</v>
      </c>
      <c r="L16" s="280">
        <v>17722</v>
      </c>
      <c r="M16" s="271">
        <f t="shared" si="8"/>
        <v>18189</v>
      </c>
      <c r="N16" s="294">
        <v>6</v>
      </c>
      <c r="O16" s="273">
        <f t="shared" si="1"/>
        <v>7038</v>
      </c>
      <c r="P16" s="274" t="e">
        <f t="shared" si="2"/>
        <v>#REF!</v>
      </c>
      <c r="Q16" s="274" t="e">
        <f t="shared" si="3"/>
        <v>#REF!</v>
      </c>
      <c r="R16" s="275" t="e">
        <f t="shared" si="4"/>
        <v>#REF!</v>
      </c>
      <c r="S16" s="276" t="e">
        <f t="shared" si="5"/>
        <v>#REF!</v>
      </c>
      <c r="T16" s="277">
        <v>20488</v>
      </c>
      <c r="U16" s="278" t="e">
        <f t="shared" si="9"/>
        <v>#REF!</v>
      </c>
      <c r="V16" s="302" t="e">
        <f t="shared" si="10"/>
        <v>#REF!</v>
      </c>
      <c r="W16" s="645">
        <v>20262</v>
      </c>
      <c r="X16" s="11"/>
      <c r="Y16" s="71"/>
    </row>
    <row r="17" spans="1:26" ht="14">
      <c r="A17" s="259">
        <v>1</v>
      </c>
      <c r="B17" s="260">
        <v>12</v>
      </c>
      <c r="C17" s="291" t="s">
        <v>112</v>
      </c>
      <c r="D17" s="292">
        <v>9</v>
      </c>
      <c r="E17" s="263">
        <v>2675</v>
      </c>
      <c r="F17" s="264">
        <v>2016</v>
      </c>
      <c r="G17" s="265">
        <f t="shared" si="6"/>
        <v>8.6728971962616814</v>
      </c>
      <c r="H17" s="266">
        <f t="shared" si="7"/>
        <v>11.507936507936508</v>
      </c>
      <c r="I17" s="271">
        <v>232</v>
      </c>
      <c r="J17" s="286">
        <v>2</v>
      </c>
      <c r="K17" s="647">
        <v>16190</v>
      </c>
      <c r="L17" s="280">
        <v>15289</v>
      </c>
      <c r="M17" s="271">
        <f t="shared" si="8"/>
        <v>901</v>
      </c>
      <c r="N17" s="287">
        <v>1</v>
      </c>
      <c r="O17" s="273">
        <f t="shared" si="1"/>
        <v>7038</v>
      </c>
      <c r="P17" s="274" t="e">
        <f t="shared" si="2"/>
        <v>#REF!</v>
      </c>
      <c r="Q17" s="274" t="e">
        <f t="shared" si="3"/>
        <v>#REF!</v>
      </c>
      <c r="R17" s="275" t="e">
        <f t="shared" si="4"/>
        <v>#REF!</v>
      </c>
      <c r="S17" s="276" t="e">
        <f t="shared" si="5"/>
        <v>#REF!</v>
      </c>
      <c r="T17" s="288">
        <v>13375</v>
      </c>
      <c r="U17" s="289" t="e">
        <f t="shared" si="9"/>
        <v>#REF!</v>
      </c>
      <c r="V17" s="435" t="e">
        <f t="shared" si="10"/>
        <v>#REF!</v>
      </c>
      <c r="W17" s="645">
        <v>15289</v>
      </c>
      <c r="X17" s="11"/>
      <c r="Y17" s="71" t="e">
        <f>+U17</f>
        <v>#REF!</v>
      </c>
    </row>
    <row r="18" spans="1:26" ht="14">
      <c r="A18" s="259">
        <v>1</v>
      </c>
      <c r="B18" s="260">
        <v>13</v>
      </c>
      <c r="C18" s="291" t="s">
        <v>113</v>
      </c>
      <c r="D18" s="292">
        <v>16</v>
      </c>
      <c r="E18" s="263">
        <v>5187</v>
      </c>
      <c r="F18" s="264">
        <v>4271</v>
      </c>
      <c r="G18" s="265">
        <f t="shared" si="6"/>
        <v>11.008289955658377</v>
      </c>
      <c r="H18" s="266">
        <f t="shared" si="7"/>
        <v>13.369234371341607</v>
      </c>
      <c r="I18" s="285">
        <v>571</v>
      </c>
      <c r="J18" s="286">
        <v>4</v>
      </c>
      <c r="K18" s="647">
        <v>42628</v>
      </c>
      <c r="L18" s="280">
        <v>16766</v>
      </c>
      <c r="M18" s="285">
        <f t="shared" si="8"/>
        <v>25862</v>
      </c>
      <c r="N18" s="294">
        <v>7</v>
      </c>
      <c r="O18" s="273">
        <f t="shared" si="1"/>
        <v>7038</v>
      </c>
      <c r="P18" s="274" t="e">
        <f t="shared" si="2"/>
        <v>#REF!</v>
      </c>
      <c r="Q18" s="274" t="e">
        <f t="shared" si="3"/>
        <v>#REF!</v>
      </c>
      <c r="R18" s="275" t="e">
        <f t="shared" si="4"/>
        <v>#REF!</v>
      </c>
      <c r="S18" s="276" t="e">
        <f t="shared" si="5"/>
        <v>#REF!</v>
      </c>
      <c r="T18" s="277">
        <v>21649</v>
      </c>
      <c r="U18" s="436" t="e">
        <f t="shared" si="9"/>
        <v>#REF!</v>
      </c>
      <c r="V18" s="302" t="e">
        <f t="shared" si="10"/>
        <v>#REF!</v>
      </c>
      <c r="W18" s="645">
        <v>19587</v>
      </c>
      <c r="X18" s="11"/>
      <c r="Y18" s="71"/>
    </row>
    <row r="19" spans="1:26" ht="14">
      <c r="A19" s="259">
        <v>1</v>
      </c>
      <c r="B19" s="260">
        <v>14</v>
      </c>
      <c r="C19" s="291" t="s">
        <v>114</v>
      </c>
      <c r="D19" s="292">
        <v>12</v>
      </c>
      <c r="E19" s="263">
        <v>3183</v>
      </c>
      <c r="F19" s="264">
        <v>2299</v>
      </c>
      <c r="G19" s="265">
        <f t="shared" si="6"/>
        <v>28.212378259503613</v>
      </c>
      <c r="H19" s="266">
        <f t="shared" si="7"/>
        <v>39.060461070030449</v>
      </c>
      <c r="I19" s="267">
        <v>898</v>
      </c>
      <c r="J19" s="268">
        <v>6</v>
      </c>
      <c r="K19" s="647">
        <v>26865</v>
      </c>
      <c r="L19" s="280">
        <v>18076</v>
      </c>
      <c r="M19" s="271">
        <f t="shared" si="8"/>
        <v>8789</v>
      </c>
      <c r="N19" s="294">
        <v>5</v>
      </c>
      <c r="O19" s="273">
        <f t="shared" si="1"/>
        <v>7038</v>
      </c>
      <c r="P19" s="274" t="e">
        <f t="shared" si="2"/>
        <v>#REF!</v>
      </c>
      <c r="Q19" s="274" t="e">
        <f t="shared" si="3"/>
        <v>#REF!</v>
      </c>
      <c r="R19" s="275" t="e">
        <f t="shared" si="4"/>
        <v>#REF!</v>
      </c>
      <c r="S19" s="276" t="e">
        <f t="shared" si="5"/>
        <v>#REF!</v>
      </c>
      <c r="T19" s="277">
        <v>22246</v>
      </c>
      <c r="U19" s="436" t="e">
        <f t="shared" si="9"/>
        <v>#REF!</v>
      </c>
      <c r="V19" s="302" t="e">
        <f t="shared" si="10"/>
        <v>#REF!</v>
      </c>
      <c r="W19" s="645">
        <v>19211</v>
      </c>
      <c r="X19" s="11"/>
      <c r="Y19" s="173"/>
    </row>
    <row r="20" spans="1:26" ht="14">
      <c r="A20" s="259">
        <v>1</v>
      </c>
      <c r="B20" s="260">
        <v>15</v>
      </c>
      <c r="C20" s="297" t="s">
        <v>115</v>
      </c>
      <c r="D20" s="292">
        <v>9</v>
      </c>
      <c r="E20" s="263">
        <v>7084</v>
      </c>
      <c r="F20" s="264">
        <v>3820</v>
      </c>
      <c r="G20" s="265">
        <f t="shared" si="6"/>
        <v>7.8345567476002254</v>
      </c>
      <c r="H20" s="266">
        <f t="shared" si="7"/>
        <v>14.528795811518325</v>
      </c>
      <c r="I20" s="285">
        <v>555</v>
      </c>
      <c r="J20" s="286">
        <v>4</v>
      </c>
      <c r="K20" s="647">
        <v>23852</v>
      </c>
      <c r="L20" s="280">
        <v>13891</v>
      </c>
      <c r="M20" s="271">
        <f t="shared" si="8"/>
        <v>9961</v>
      </c>
      <c r="N20" s="294">
        <v>5</v>
      </c>
      <c r="O20" s="273">
        <f t="shared" si="1"/>
        <v>7038</v>
      </c>
      <c r="P20" s="274" t="e">
        <f t="shared" si="2"/>
        <v>#REF!</v>
      </c>
      <c r="Q20" s="274" t="e">
        <f t="shared" si="3"/>
        <v>#REF!</v>
      </c>
      <c r="R20" s="275" t="e">
        <f t="shared" si="4"/>
        <v>#REF!</v>
      </c>
      <c r="S20" s="276" t="e">
        <f t="shared" si="5"/>
        <v>#REF!</v>
      </c>
      <c r="T20" s="277">
        <v>18360</v>
      </c>
      <c r="U20" s="301" t="e">
        <f t="shared" si="9"/>
        <v>#REF!</v>
      </c>
      <c r="V20" s="302" t="e">
        <f t="shared" si="10"/>
        <v>#REF!</v>
      </c>
      <c r="W20" s="645">
        <v>18025</v>
      </c>
      <c r="X20" s="11"/>
      <c r="Y20" s="71"/>
    </row>
    <row r="21" spans="1:26" ht="14.5" thickBot="1">
      <c r="A21" s="303">
        <v>1</v>
      </c>
      <c r="B21" s="304">
        <v>16</v>
      </c>
      <c r="C21" s="305" t="s">
        <v>116</v>
      </c>
      <c r="D21" s="642">
        <v>10</v>
      </c>
      <c r="E21" s="307">
        <v>679</v>
      </c>
      <c r="F21" s="308">
        <v>534</v>
      </c>
      <c r="G21" s="309">
        <f t="shared" si="6"/>
        <v>22.385861561119295</v>
      </c>
      <c r="H21" s="310">
        <f t="shared" si="7"/>
        <v>28.464419475655429</v>
      </c>
      <c r="I21" s="643">
        <v>152</v>
      </c>
      <c r="J21" s="312">
        <v>1</v>
      </c>
      <c r="K21" s="648">
        <v>30949</v>
      </c>
      <c r="L21" s="324">
        <v>11503</v>
      </c>
      <c r="M21" s="643">
        <f t="shared" si="8"/>
        <v>19446</v>
      </c>
      <c r="N21" s="655">
        <v>6</v>
      </c>
      <c r="O21" s="317">
        <f t="shared" si="1"/>
        <v>7038</v>
      </c>
      <c r="P21" s="318" t="e">
        <f t="shared" si="2"/>
        <v>#REF!</v>
      </c>
      <c r="Q21" s="318" t="e">
        <f t="shared" si="3"/>
        <v>#REF!</v>
      </c>
      <c r="R21" s="319" t="e">
        <f t="shared" si="4"/>
        <v>#REF!</v>
      </c>
      <c r="S21" s="320" t="e">
        <f t="shared" si="5"/>
        <v>#REF!</v>
      </c>
      <c r="T21" s="321">
        <v>14819</v>
      </c>
      <c r="U21" s="322" t="e">
        <f t="shared" si="9"/>
        <v>#REF!</v>
      </c>
      <c r="V21" s="323" t="e">
        <f t="shared" si="10"/>
        <v>#REF!</v>
      </c>
      <c r="W21" s="645">
        <v>11766</v>
      </c>
      <c r="X21" s="11"/>
      <c r="Y21" s="71"/>
    </row>
    <row r="22" spans="1:26" ht="21.65" customHeight="1" thickBot="1">
      <c r="A22" s="133"/>
      <c r="B22" s="134"/>
      <c r="C22" s="135"/>
      <c r="D22" s="23"/>
      <c r="E22" s="136"/>
      <c r="F22" s="137"/>
      <c r="G22" s="136"/>
      <c r="H22" s="87"/>
      <c r="I22" s="87"/>
      <c r="J22" s="87"/>
      <c r="K22" s="136"/>
      <c r="L22" s="136"/>
      <c r="M22" s="136"/>
      <c r="N22" s="136"/>
      <c r="R22" s="771" t="s">
        <v>54</v>
      </c>
      <c r="S22" s="771"/>
      <c r="T22" s="771"/>
      <c r="U22" s="138" t="e">
        <f>SUM(Y6:Y21)</f>
        <v>#REF!</v>
      </c>
      <c r="V22" s="22"/>
      <c r="W22" s="23"/>
      <c r="X22" s="678">
        <f>SUM(X6:X21)</f>
        <v>0</v>
      </c>
      <c r="Y22" s="326" t="e">
        <f>SUM(Y6:Y21)</f>
        <v>#REF!</v>
      </c>
    </row>
    <row r="23" spans="1:26" ht="12" thickBot="1">
      <c r="A23" s="133"/>
      <c r="B23" s="134"/>
      <c r="C23" s="135"/>
      <c r="D23" s="23"/>
      <c r="E23" s="136"/>
      <c r="F23" s="137"/>
      <c r="G23" s="136"/>
      <c r="H23" s="87"/>
      <c r="I23" s="87"/>
      <c r="J23" s="87"/>
      <c r="K23" s="136"/>
      <c r="L23" s="136"/>
      <c r="M23" s="136"/>
      <c r="N23" s="136"/>
      <c r="O23" s="136"/>
      <c r="R23" s="772" t="s">
        <v>55</v>
      </c>
      <c r="S23" s="773"/>
      <c r="T23" s="773"/>
      <c r="U23" s="774"/>
      <c r="V23" s="775">
        <f>SUM(X6:X21)</f>
        <v>0</v>
      </c>
      <c r="W23" s="776"/>
      <c r="X23" s="140"/>
      <c r="Y23" s="173"/>
    </row>
    <row r="24" spans="1:26">
      <c r="A24" s="779" t="s">
        <v>117</v>
      </c>
      <c r="B24" s="779"/>
      <c r="C24" s="779"/>
      <c r="D24" s="779"/>
      <c r="E24" s="327"/>
      <c r="F24" s="327"/>
      <c r="G24" s="328" t="s">
        <v>118</v>
      </c>
      <c r="H24" s="328"/>
      <c r="I24" s="328"/>
      <c r="J24" s="328"/>
      <c r="K24" s="328"/>
      <c r="L24" s="328"/>
      <c r="M24" s="329"/>
      <c r="P24" s="328"/>
      <c r="Q24" s="136"/>
      <c r="R24" s="136"/>
      <c r="S24" s="136"/>
      <c r="T24" s="330"/>
      <c r="U24" s="331"/>
      <c r="V24" s="331"/>
      <c r="W24" s="136"/>
      <c r="X24" s="332"/>
      <c r="Y24" s="173"/>
      <c r="Z24" s="141"/>
    </row>
    <row r="25" spans="1:26">
      <c r="A25" s="333"/>
      <c r="B25" s="334"/>
      <c r="C25" s="335">
        <v>0.3</v>
      </c>
      <c r="D25" s="780">
        <v>7038</v>
      </c>
      <c r="E25" s="780"/>
      <c r="F25" s="336"/>
      <c r="G25" s="337" t="s">
        <v>119</v>
      </c>
      <c r="H25" s="337"/>
      <c r="I25" s="337"/>
      <c r="J25" s="337"/>
      <c r="K25" s="337"/>
      <c r="L25" s="337"/>
      <c r="M25" s="164">
        <f>+D25*A5</f>
        <v>112608</v>
      </c>
      <c r="O25" s="10" t="e">
        <f>E29*0.3</f>
        <v>#REF!</v>
      </c>
      <c r="P25" s="338" t="e">
        <f>+O25/16</f>
        <v>#REF!</v>
      </c>
      <c r="Q25" s="339"/>
      <c r="R25" s="136"/>
      <c r="S25" s="136"/>
      <c r="T25" s="330"/>
      <c r="U25" s="331"/>
      <c r="V25" s="331"/>
      <c r="X25" s="22"/>
      <c r="Z25" s="141"/>
    </row>
    <row r="26" spans="1:26" ht="13.15" customHeight="1">
      <c r="A26" s="333"/>
      <c r="B26" s="334"/>
      <c r="C26" s="335">
        <v>0.2</v>
      </c>
      <c r="D26" s="781">
        <v>0.2</v>
      </c>
      <c r="E26" s="781"/>
      <c r="F26" s="341"/>
      <c r="G26" s="337" t="s">
        <v>120</v>
      </c>
      <c r="H26" s="337"/>
      <c r="I26" s="337"/>
      <c r="J26" s="337"/>
      <c r="K26" s="337"/>
      <c r="L26" s="337"/>
      <c r="M26" s="164" t="e">
        <f>+(+$E$29)*D26</f>
        <v>#REF!</v>
      </c>
      <c r="O26" s="782" t="s">
        <v>144</v>
      </c>
      <c r="P26" s="782"/>
      <c r="Q26" s="782"/>
      <c r="R26" s="782"/>
      <c r="S26" s="782"/>
      <c r="T26" s="782"/>
      <c r="U26" s="782"/>
      <c r="V26" s="782"/>
      <c r="W26" s="782"/>
      <c r="X26" s="22"/>
      <c r="Z26" s="141"/>
    </row>
    <row r="27" spans="1:26">
      <c r="A27" s="333"/>
      <c r="C27" s="335">
        <v>0.35</v>
      </c>
      <c r="D27" s="781">
        <v>0.35</v>
      </c>
      <c r="E27" s="781"/>
      <c r="F27" s="341"/>
      <c r="G27" s="337" t="s">
        <v>66</v>
      </c>
      <c r="H27" s="337"/>
      <c r="I27" s="337"/>
      <c r="J27" s="337"/>
      <c r="K27" s="337"/>
      <c r="L27" s="337"/>
      <c r="M27" s="164" t="e">
        <f>+(+$E$29)*D27+4</f>
        <v>#REF!</v>
      </c>
      <c r="O27" s="782"/>
      <c r="P27" s="782"/>
      <c r="Q27" s="782"/>
      <c r="R27" s="782"/>
      <c r="S27" s="782"/>
      <c r="T27" s="782"/>
      <c r="U27" s="782"/>
      <c r="V27" s="782"/>
      <c r="W27" s="782"/>
      <c r="X27" s="22"/>
      <c r="Z27" s="141"/>
    </row>
    <row r="28" spans="1:26" ht="13.15" customHeight="1">
      <c r="A28" s="333"/>
      <c r="C28" s="335">
        <v>0.15</v>
      </c>
      <c r="D28" s="781">
        <v>0.15</v>
      </c>
      <c r="E28" s="781"/>
      <c r="F28" s="341"/>
      <c r="G28" s="337" t="s">
        <v>68</v>
      </c>
      <c r="H28" s="337"/>
      <c r="I28" s="337"/>
      <c r="J28" s="337"/>
      <c r="K28" s="337"/>
      <c r="L28" s="337"/>
      <c r="M28" s="164" t="e">
        <f>+(+$E$29)*D28</f>
        <v>#REF!</v>
      </c>
      <c r="O28" s="783" t="s">
        <v>122</v>
      </c>
      <c r="P28" s="783"/>
      <c r="Q28" s="783"/>
      <c r="R28" s="783"/>
      <c r="S28" s="783"/>
      <c r="T28" s="783"/>
      <c r="U28" s="783"/>
      <c r="V28" s="783"/>
      <c r="W28" s="783"/>
      <c r="X28" s="22"/>
      <c r="Z28" s="141"/>
    </row>
    <row r="29" spans="1:26" ht="16.149999999999999" customHeight="1">
      <c r="A29" s="333"/>
      <c r="C29" s="784" t="s">
        <v>123</v>
      </c>
      <c r="D29" s="784"/>
      <c r="E29" s="87" t="e">
        <f>#REF!</f>
        <v>#REF!</v>
      </c>
      <c r="G29" s="337"/>
      <c r="H29" s="337"/>
      <c r="I29" s="337"/>
      <c r="J29" s="337"/>
      <c r="K29" s="337"/>
      <c r="M29" s="342" t="e">
        <f>SUM(M25:M28)</f>
        <v>#REF!</v>
      </c>
      <c r="O29" s="783"/>
      <c r="P29" s="783"/>
      <c r="Q29" s="783"/>
      <c r="R29" s="783"/>
      <c r="S29" s="783"/>
      <c r="T29" s="783"/>
      <c r="U29" s="783"/>
      <c r="V29" s="783"/>
      <c r="W29" s="783"/>
      <c r="X29" s="22"/>
      <c r="Z29" s="141"/>
    </row>
    <row r="30" spans="1:26">
      <c r="U30" s="136"/>
      <c r="V30" s="136"/>
      <c r="W30" s="23"/>
      <c r="X30" s="22"/>
    </row>
    <row r="31" spans="1:26" ht="43.5" customHeight="1">
      <c r="U31" s="136"/>
      <c r="V31" s="136"/>
      <c r="W31" s="23"/>
      <c r="X31" s="22"/>
    </row>
    <row r="32" spans="1:26">
      <c r="C32" s="329" t="s">
        <v>124</v>
      </c>
      <c r="U32" s="136"/>
      <c r="V32" s="136"/>
      <c r="W32" s="23"/>
      <c r="X32" s="22"/>
    </row>
    <row r="33" spans="1:24" s="23" customFormat="1" ht="4.1500000000000004" customHeight="1">
      <c r="B33" s="140"/>
      <c r="C33" s="329"/>
      <c r="D33" s="141"/>
      <c r="E33" s="182"/>
      <c r="F33" s="182"/>
      <c r="G33" s="182"/>
      <c r="H33" s="182"/>
      <c r="M33" s="141"/>
      <c r="T33" s="183"/>
      <c r="U33" s="136"/>
      <c r="V33" s="136"/>
      <c r="X33" s="22"/>
    </row>
    <row r="34" spans="1:24" s="23" customFormat="1" ht="12">
      <c r="B34" s="140"/>
      <c r="C34" s="329" t="s">
        <v>125</v>
      </c>
      <c r="D34" s="141"/>
      <c r="E34" s="182"/>
      <c r="F34" s="786" t="s">
        <v>126</v>
      </c>
      <c r="G34" s="786"/>
      <c r="H34" s="786"/>
      <c r="I34" s="786"/>
      <c r="J34" s="786"/>
      <c r="K34" s="329" t="s">
        <v>127</v>
      </c>
      <c r="M34" s="141"/>
      <c r="O34" s="787" t="s">
        <v>79</v>
      </c>
      <c r="P34" s="788"/>
      <c r="Q34" s="789"/>
      <c r="R34" s="777"/>
      <c r="S34" s="777"/>
      <c r="T34" s="343"/>
      <c r="U34" s="136"/>
      <c r="W34" s="344"/>
      <c r="X34" s="345"/>
    </row>
    <row r="35" spans="1:24" s="23" customFormat="1" ht="12">
      <c r="A35" s="333"/>
      <c r="B35" s="334"/>
      <c r="C35" s="346" t="s">
        <v>128</v>
      </c>
      <c r="D35" s="347" t="s">
        <v>129</v>
      </c>
      <c r="E35" s="344" t="s">
        <v>80</v>
      </c>
      <c r="F35" s="344"/>
      <c r="G35" s="348"/>
      <c r="H35" s="349" t="s">
        <v>80</v>
      </c>
      <c r="I35" s="349" t="s">
        <v>81</v>
      </c>
      <c r="J35" s="350"/>
      <c r="K35" s="351" t="s">
        <v>130</v>
      </c>
      <c r="L35" s="352" t="s">
        <v>129</v>
      </c>
      <c r="M35" s="344" t="s">
        <v>80</v>
      </c>
      <c r="N35" s="344"/>
      <c r="O35" s="348"/>
      <c r="P35" s="349" t="s">
        <v>80</v>
      </c>
      <c r="Q35" s="349" t="s">
        <v>81</v>
      </c>
      <c r="R35" s="182"/>
      <c r="S35" s="344"/>
      <c r="T35" s="343"/>
      <c r="U35" s="136"/>
      <c r="V35" s="353"/>
      <c r="W35" s="344"/>
      <c r="X35" s="345"/>
    </row>
    <row r="36" spans="1:24" s="23" customFormat="1" ht="14.5">
      <c r="A36" s="333"/>
      <c r="B36" s="334"/>
      <c r="C36">
        <v>152</v>
      </c>
      <c r="D36" s="340">
        <f>LOG10(C36)</f>
        <v>2.1818435879447726</v>
      </c>
      <c r="E36" s="355">
        <f>+D36</f>
        <v>2.1818435879447726</v>
      </c>
      <c r="F36" s="355"/>
      <c r="G36" s="356"/>
      <c r="H36" s="357">
        <f>POWER(10,E36)</f>
        <v>152.00000000000014</v>
      </c>
      <c r="I36" s="358">
        <v>1</v>
      </c>
      <c r="J36" s="350"/>
      <c r="K36" s="653">
        <v>901</v>
      </c>
      <c r="L36" s="355">
        <f>LOG10(K36)</f>
        <v>2.9547247909790628</v>
      </c>
      <c r="M36" s="340">
        <f>+L36</f>
        <v>2.9547247909790628</v>
      </c>
      <c r="N36" s="355"/>
      <c r="O36" s="359"/>
      <c r="P36" s="172">
        <f t="shared" ref="P36:P41" si="11">POWER(10,M36)</f>
        <v>901.00000000000057</v>
      </c>
      <c r="Q36" s="172">
        <v>1</v>
      </c>
      <c r="R36" s="87"/>
      <c r="S36" s="87"/>
      <c r="T36" s="360"/>
      <c r="U36" s="136"/>
      <c r="V36" s="164"/>
      <c r="W36" s="164"/>
      <c r="X36" s="361"/>
    </row>
    <row r="37" spans="1:24" s="23" customFormat="1" ht="14.5">
      <c r="A37" s="333"/>
      <c r="B37" s="334"/>
      <c r="C37">
        <v>232</v>
      </c>
      <c r="D37" s="340">
        <f t="shared" ref="D37:D51" si="12">LOG10(C37)</f>
        <v>2.3654879848908998</v>
      </c>
      <c r="E37" s="355">
        <f>+D37</f>
        <v>2.3654879848908998</v>
      </c>
      <c r="F37" s="355"/>
      <c r="G37" s="182"/>
      <c r="H37" s="357">
        <f t="shared" ref="H37:H44" si="13">POWER(10,E37)</f>
        <v>232.0000000000002</v>
      </c>
      <c r="I37" s="358">
        <v>2</v>
      </c>
      <c r="J37" s="350"/>
      <c r="K37" s="653">
        <v>6923</v>
      </c>
      <c r="L37" s="355">
        <f t="shared" ref="L37:L51" si="14">LOG10(K37)</f>
        <v>3.8402943316114362</v>
      </c>
      <c r="M37" s="340">
        <f>+M36+$L$52</f>
        <v>3.1836696293452746</v>
      </c>
      <c r="N37" s="355"/>
      <c r="O37" s="87"/>
      <c r="P37" s="172">
        <f t="shared" si="11"/>
        <v>1526.4044706097302</v>
      </c>
      <c r="Q37" s="172">
        <v>2</v>
      </c>
      <c r="R37" s="87"/>
      <c r="S37" s="87"/>
      <c r="T37" s="360"/>
      <c r="U37" s="136"/>
      <c r="V37" s="164"/>
      <c r="W37" s="164"/>
      <c r="X37" s="361"/>
    </row>
    <row r="38" spans="1:24" s="23" customFormat="1" ht="14.5">
      <c r="A38" s="333"/>
      <c r="B38" s="334"/>
      <c r="C38">
        <v>555</v>
      </c>
      <c r="D38" s="340">
        <f t="shared" si="12"/>
        <v>2.7442929831226763</v>
      </c>
      <c r="E38" s="355">
        <f t="shared" ref="E38:E46" si="15">+E37+$D$52</f>
        <v>2.5077683654131597</v>
      </c>
      <c r="F38" s="355"/>
      <c r="G38" s="182"/>
      <c r="H38" s="357">
        <f t="shared" si="13"/>
        <v>321.93512654274645</v>
      </c>
      <c r="I38" s="358">
        <v>3</v>
      </c>
      <c r="J38" s="350"/>
      <c r="K38" s="653">
        <v>8789</v>
      </c>
      <c r="L38" s="355">
        <f t="shared" si="14"/>
        <v>3.9439394644722165</v>
      </c>
      <c r="M38" s="340">
        <f t="shared" ref="M38:M46" si="16">+M37+$L$52</f>
        <v>3.4126144677114865</v>
      </c>
      <c r="N38" s="355"/>
      <c r="O38" s="87"/>
      <c r="P38" s="172">
        <f t="shared" si="11"/>
        <v>2585.916323970443</v>
      </c>
      <c r="Q38" s="172">
        <v>3</v>
      </c>
      <c r="R38" s="87"/>
      <c r="S38" s="87"/>
      <c r="T38" s="360"/>
      <c r="U38" s="136"/>
      <c r="V38" s="164"/>
      <c r="W38" s="164"/>
      <c r="X38" s="361"/>
    </row>
    <row r="39" spans="1:24" s="23" customFormat="1" ht="14.5">
      <c r="A39" s="333"/>
      <c r="B39" s="334"/>
      <c r="C39">
        <v>557</v>
      </c>
      <c r="D39" s="340">
        <f t="shared" si="12"/>
        <v>2.7458551951737289</v>
      </c>
      <c r="E39" s="355">
        <f t="shared" si="15"/>
        <v>2.6500487459354196</v>
      </c>
      <c r="F39" s="355"/>
      <c r="G39" s="182"/>
      <c r="H39" s="357">
        <f t="shared" si="13"/>
        <v>446.7337314745435</v>
      </c>
      <c r="I39" s="358">
        <v>4</v>
      </c>
      <c r="J39" s="350"/>
      <c r="K39" s="653">
        <v>9961</v>
      </c>
      <c r="L39" s="355">
        <f t="shared" si="14"/>
        <v>3.998302940098541</v>
      </c>
      <c r="M39" s="340">
        <f t="shared" si="16"/>
        <v>3.6415593060776983</v>
      </c>
      <c r="N39" s="355"/>
      <c r="O39" s="87"/>
      <c r="P39" s="172">
        <f t="shared" si="11"/>
        <v>4380.8593091355833</v>
      </c>
      <c r="Q39" s="172">
        <v>4</v>
      </c>
      <c r="R39" s="87"/>
      <c r="S39" s="87"/>
      <c r="T39" s="360"/>
      <c r="U39" s="136"/>
      <c r="V39" s="164"/>
      <c r="W39" s="164"/>
      <c r="X39" s="361"/>
    </row>
    <row r="40" spans="1:24" s="23" customFormat="1" ht="14.5">
      <c r="A40" s="333"/>
      <c r="B40" s="334"/>
      <c r="C40">
        <v>571</v>
      </c>
      <c r="D40" s="340">
        <f t="shared" si="12"/>
        <v>2.7566361082458481</v>
      </c>
      <c r="E40" s="355">
        <f t="shared" si="15"/>
        <v>2.7923291264576795</v>
      </c>
      <c r="F40" s="355"/>
      <c r="G40" s="182"/>
      <c r="H40" s="357">
        <f t="shared" si="13"/>
        <v>619.91069126366529</v>
      </c>
      <c r="I40" s="358">
        <v>5</v>
      </c>
      <c r="J40" s="136"/>
      <c r="K40" s="653">
        <v>14093</v>
      </c>
      <c r="L40" s="355">
        <f t="shared" si="14"/>
        <v>4.1490034519285475</v>
      </c>
      <c r="M40" s="340">
        <f t="shared" si="16"/>
        <v>3.8705041444439101</v>
      </c>
      <c r="N40" s="355"/>
      <c r="O40" s="17"/>
      <c r="P40" s="172">
        <f t="shared" si="11"/>
        <v>7421.7128019720421</v>
      </c>
      <c r="Q40" s="172">
        <v>5</v>
      </c>
      <c r="R40" s="87"/>
      <c r="S40" s="87"/>
      <c r="T40" s="360"/>
      <c r="U40" s="136"/>
      <c r="V40" s="164"/>
      <c r="W40" s="164"/>
      <c r="X40" s="361"/>
    </row>
    <row r="41" spans="1:24" s="23" customFormat="1" ht="14.5">
      <c r="A41" s="333"/>
      <c r="B41" s="334"/>
      <c r="C41">
        <v>594</v>
      </c>
      <c r="D41" s="340">
        <f t="shared" si="12"/>
        <v>2.7737864449811935</v>
      </c>
      <c r="E41" s="355">
        <f t="shared" si="15"/>
        <v>2.9346095069799394</v>
      </c>
      <c r="F41" s="355"/>
      <c r="G41" s="182"/>
      <c r="H41" s="357">
        <f t="shared" si="13"/>
        <v>860.21994326366109</v>
      </c>
      <c r="I41" s="358">
        <v>6</v>
      </c>
      <c r="J41" s="136"/>
      <c r="K41" s="653">
        <v>18189</v>
      </c>
      <c r="L41" s="355">
        <f t="shared" si="14"/>
        <v>4.2598088229546285</v>
      </c>
      <c r="M41" s="340">
        <f t="shared" si="16"/>
        <v>4.0994489828101219</v>
      </c>
      <c r="N41" s="355"/>
      <c r="O41" s="87"/>
      <c r="P41" s="172">
        <f t="shared" si="11"/>
        <v>12573.291454507875</v>
      </c>
      <c r="Q41" s="172">
        <v>6</v>
      </c>
      <c r="R41" s="87"/>
      <c r="S41" s="87"/>
      <c r="T41" s="360"/>
      <c r="U41" s="136"/>
      <c r="V41" s="164"/>
      <c r="W41" s="164"/>
      <c r="X41" s="361"/>
    </row>
    <row r="42" spans="1:24" s="23" customFormat="1" ht="14.5" customHeight="1">
      <c r="A42" s="333"/>
      <c r="B42" s="334"/>
      <c r="C42">
        <v>680</v>
      </c>
      <c r="D42" s="340">
        <f t="shared" si="12"/>
        <v>2.8325089127062362</v>
      </c>
      <c r="E42" s="355">
        <f t="shared" si="15"/>
        <v>3.0768898875021993</v>
      </c>
      <c r="F42" s="355"/>
      <c r="G42" s="182"/>
      <c r="H42" s="357">
        <f t="shared" si="13"/>
        <v>1193.6854150395718</v>
      </c>
      <c r="I42" s="358">
        <v>7</v>
      </c>
      <c r="J42" s="136"/>
      <c r="K42" s="653">
        <v>19446</v>
      </c>
      <c r="L42" s="355">
        <f t="shared" si="14"/>
        <v>4.2888302814158532</v>
      </c>
      <c r="M42" s="340">
        <f t="shared" si="16"/>
        <v>4.3283938211763333</v>
      </c>
      <c r="N42" s="355"/>
      <c r="O42" s="778">
        <f>POWER(10,M42)</f>
        <v>21300.697321242958</v>
      </c>
      <c r="P42" s="778"/>
      <c r="Q42" s="172">
        <v>7</v>
      </c>
      <c r="R42" s="87"/>
      <c r="S42" s="87"/>
      <c r="T42" s="360"/>
      <c r="U42" s="136"/>
      <c r="V42" s="164"/>
      <c r="W42" s="164"/>
      <c r="X42" s="361"/>
    </row>
    <row r="43" spans="1:24" s="23" customFormat="1" ht="14.5" customHeight="1">
      <c r="B43" s="140"/>
      <c r="C43">
        <v>697</v>
      </c>
      <c r="D43" s="340">
        <f t="shared" si="12"/>
        <v>2.8432327780980096</v>
      </c>
      <c r="E43" s="355">
        <f t="shared" si="15"/>
        <v>3.2191702680244592</v>
      </c>
      <c r="F43" s="355"/>
      <c r="G43" s="182"/>
      <c r="H43" s="357">
        <f t="shared" si="13"/>
        <v>1656.4192463060147</v>
      </c>
      <c r="I43" s="358">
        <v>8</v>
      </c>
      <c r="K43" s="653">
        <v>20650</v>
      </c>
      <c r="L43" s="355">
        <f t="shared" si="14"/>
        <v>4.3149200559924195</v>
      </c>
      <c r="M43" s="340">
        <f t="shared" si="16"/>
        <v>4.5573386595425447</v>
      </c>
      <c r="N43" s="355"/>
      <c r="O43" s="778">
        <f>POWER(10,M43)</f>
        <v>36085.992917036521</v>
      </c>
      <c r="P43" s="778"/>
      <c r="Q43" s="172">
        <v>8</v>
      </c>
      <c r="R43" s="87"/>
      <c r="S43" s="87"/>
      <c r="T43" s="360"/>
      <c r="V43" s="164"/>
      <c r="W43" s="164"/>
      <c r="X43" s="361"/>
    </row>
    <row r="44" spans="1:24" s="23" customFormat="1" ht="14.5" customHeight="1">
      <c r="B44" s="140"/>
      <c r="C44">
        <v>723</v>
      </c>
      <c r="D44" s="340">
        <f t="shared" si="12"/>
        <v>2.859138297294531</v>
      </c>
      <c r="E44" s="355">
        <f t="shared" si="15"/>
        <v>3.361450648546719</v>
      </c>
      <c r="F44" s="355"/>
      <c r="G44" s="182"/>
      <c r="H44" s="357">
        <f t="shared" si="13"/>
        <v>2298.5324985662378</v>
      </c>
      <c r="I44" s="358">
        <v>9</v>
      </c>
      <c r="K44" s="653">
        <v>24135</v>
      </c>
      <c r="L44" s="355">
        <f t="shared" si="14"/>
        <v>4.3826473031547106</v>
      </c>
      <c r="M44" s="340">
        <f t="shared" si="16"/>
        <v>4.7862834979087561</v>
      </c>
      <c r="N44" s="355"/>
      <c r="O44" s="778">
        <f>POWER(10,M44)</f>
        <v>61134.096464989481</v>
      </c>
      <c r="P44" s="778"/>
      <c r="Q44" s="172">
        <v>9</v>
      </c>
      <c r="R44" s="87"/>
      <c r="S44" s="87"/>
      <c r="T44" s="360"/>
      <c r="V44" s="164"/>
      <c r="W44" s="164"/>
      <c r="X44" s="361"/>
    </row>
    <row r="45" spans="1:24" s="23" customFormat="1" ht="14.5" customHeight="1">
      <c r="B45" s="140"/>
      <c r="C45">
        <v>898</v>
      </c>
      <c r="D45" s="340">
        <f t="shared" si="12"/>
        <v>2.9532763366673045</v>
      </c>
      <c r="E45" s="355">
        <f>+E44+$D$52</f>
        <v>3.5037310290689789</v>
      </c>
      <c r="F45" s="355"/>
      <c r="G45" s="182"/>
      <c r="H45" s="357">
        <f>POWER(10,E45)</f>
        <v>3189.5618568471364</v>
      </c>
      <c r="I45" s="358">
        <v>10</v>
      </c>
      <c r="K45" s="653">
        <v>25862</v>
      </c>
      <c r="L45" s="355">
        <f t="shared" si="14"/>
        <v>4.4126621073725811</v>
      </c>
      <c r="M45" s="340">
        <f t="shared" si="16"/>
        <v>5.0152283362749674</v>
      </c>
      <c r="N45" s="355"/>
      <c r="O45" s="778">
        <f>POWER(10,M45)</f>
        <v>103568.65499539008</v>
      </c>
      <c r="P45" s="778"/>
      <c r="Q45" s="172">
        <v>10</v>
      </c>
      <c r="R45" s="164"/>
      <c r="S45" s="164"/>
      <c r="T45" s="362"/>
      <c r="V45" s="164"/>
      <c r="W45" s="164"/>
      <c r="X45" s="361"/>
    </row>
    <row r="46" spans="1:24" s="23" customFormat="1" ht="14.5" customHeight="1">
      <c r="B46" s="140"/>
      <c r="C46">
        <v>1197</v>
      </c>
      <c r="D46" s="340">
        <f t="shared" si="12"/>
        <v>3.0780941504064105</v>
      </c>
      <c r="E46" s="355">
        <f t="shared" si="15"/>
        <v>3.6460114095912388</v>
      </c>
      <c r="F46" s="355"/>
      <c r="G46" s="182"/>
      <c r="H46" s="357">
        <f>POWER(10,E46)</f>
        <v>4425.9999999999973</v>
      </c>
      <c r="I46" s="358">
        <v>10</v>
      </c>
      <c r="K46" s="653">
        <v>39940</v>
      </c>
      <c r="L46" s="355">
        <f t="shared" si="14"/>
        <v>4.6014080605346841</v>
      </c>
      <c r="M46" s="340">
        <f t="shared" si="16"/>
        <v>5.2441731746411788</v>
      </c>
      <c r="N46" s="355"/>
      <c r="O46" s="778">
        <f>POWER(10,M46)</f>
        <v>175457.99999999994</v>
      </c>
      <c r="P46" s="778"/>
      <c r="Q46" s="172">
        <v>10</v>
      </c>
      <c r="R46" s="164"/>
      <c r="S46" s="164"/>
      <c r="T46" s="362"/>
      <c r="V46" s="164"/>
      <c r="W46" s="164"/>
      <c r="X46" s="361"/>
    </row>
    <row r="47" spans="1:24" s="23" customFormat="1" ht="14.5">
      <c r="B47" s="140"/>
      <c r="C47">
        <v>1235</v>
      </c>
      <c r="D47" s="340">
        <f t="shared" si="12"/>
        <v>3.0916669575956846</v>
      </c>
      <c r="E47" s="182"/>
      <c r="F47" s="355"/>
      <c r="G47" s="182"/>
      <c r="H47" s="182"/>
      <c r="I47" s="357"/>
      <c r="K47" s="653">
        <v>69800</v>
      </c>
      <c r="L47" s="355">
        <f t="shared" si="14"/>
        <v>4.8438554226231609</v>
      </c>
      <c r="M47" s="141"/>
      <c r="N47" s="355"/>
      <c r="P47" s="172"/>
      <c r="R47" s="164"/>
      <c r="S47" s="164"/>
      <c r="T47" s="362"/>
      <c r="V47" s="164"/>
      <c r="W47" s="164"/>
      <c r="X47" s="361"/>
    </row>
    <row r="48" spans="1:24" s="23" customFormat="1" ht="14.5">
      <c r="B48" s="140"/>
      <c r="C48">
        <v>1861</v>
      </c>
      <c r="D48" s="340">
        <f t="shared" si="12"/>
        <v>3.2697463731307672</v>
      </c>
      <c r="E48" s="182"/>
      <c r="F48" s="355"/>
      <c r="G48" s="182"/>
      <c r="H48" s="182"/>
      <c r="I48" s="357"/>
      <c r="K48" s="653">
        <v>76555</v>
      </c>
      <c r="L48" s="355">
        <f t="shared" si="14"/>
        <v>4.8839735608278243</v>
      </c>
      <c r="M48" s="141"/>
      <c r="N48" s="355"/>
      <c r="P48" s="172"/>
      <c r="R48" s="164"/>
      <c r="S48" s="164"/>
      <c r="T48" s="362"/>
      <c r="V48" s="164"/>
      <c r="W48" s="164"/>
      <c r="X48" s="361"/>
    </row>
    <row r="49" spans="2:24" s="23" customFormat="1" ht="14.5">
      <c r="B49" s="140"/>
      <c r="C49">
        <v>2514</v>
      </c>
      <c r="D49" s="340">
        <f t="shared" si="12"/>
        <v>3.400365273349939</v>
      </c>
      <c r="F49" s="355"/>
      <c r="I49" s="357"/>
      <c r="K49" s="653">
        <v>158564</v>
      </c>
      <c r="L49" s="355">
        <f t="shared" si="14"/>
        <v>5.2002045929687482</v>
      </c>
      <c r="M49" s="141"/>
      <c r="N49" s="355"/>
      <c r="P49" s="172"/>
      <c r="R49" s="164"/>
      <c r="S49" s="164"/>
      <c r="T49" s="362"/>
      <c r="V49" s="164"/>
      <c r="W49" s="164"/>
      <c r="X49" s="361"/>
    </row>
    <row r="50" spans="2:24" s="23" customFormat="1" ht="14.5">
      <c r="B50" s="140"/>
      <c r="C50">
        <v>3208</v>
      </c>
      <c r="D50" s="340">
        <f t="shared" si="12"/>
        <v>3.5062343596121259</v>
      </c>
      <c r="E50" s="182"/>
      <c r="F50" s="355"/>
      <c r="G50" s="182"/>
      <c r="H50" s="182"/>
      <c r="I50" s="357"/>
      <c r="K50" s="653">
        <v>163119</v>
      </c>
      <c r="L50" s="355">
        <f t="shared" si="14"/>
        <v>5.2125045503386644</v>
      </c>
      <c r="M50" s="141"/>
      <c r="N50" s="355"/>
      <c r="P50" s="172"/>
      <c r="R50" s="164"/>
      <c r="S50" s="164"/>
      <c r="T50" s="362"/>
      <c r="V50" s="164"/>
      <c r="W50" s="164"/>
      <c r="X50" s="361"/>
    </row>
    <row r="51" spans="2:24" s="23" customFormat="1" ht="14.5">
      <c r="B51" s="140"/>
      <c r="C51">
        <v>4426</v>
      </c>
      <c r="D51" s="340">
        <f t="shared" si="12"/>
        <v>3.6460114095912393</v>
      </c>
      <c r="E51" s="182"/>
      <c r="F51" s="355"/>
      <c r="G51" s="182"/>
      <c r="H51" s="182"/>
      <c r="I51" s="357"/>
      <c r="K51" s="653">
        <v>175458</v>
      </c>
      <c r="L51" s="355">
        <f t="shared" si="14"/>
        <v>5.2441731746411797</v>
      </c>
      <c r="M51" s="141"/>
      <c r="N51" s="355"/>
      <c r="P51" s="172"/>
      <c r="R51" s="164"/>
      <c r="S51" s="164"/>
      <c r="T51" s="362"/>
      <c r="V51" s="164"/>
      <c r="W51" s="164"/>
      <c r="X51" s="361"/>
    </row>
    <row r="52" spans="2:24" s="23" customFormat="1">
      <c r="B52" s="140"/>
      <c r="C52" s="363" t="s">
        <v>82</v>
      </c>
      <c r="D52" s="785">
        <f>+(D51-D37)/9</f>
        <v>0.14228038052225994</v>
      </c>
      <c r="E52" s="785"/>
      <c r="F52" s="355"/>
      <c r="G52" s="182"/>
      <c r="H52" s="182"/>
      <c r="I52" s="357"/>
      <c r="L52" s="364">
        <f>+(L51-L36)/10</f>
        <v>0.22894483836621168</v>
      </c>
      <c r="M52" s="442" t="s">
        <v>82</v>
      </c>
      <c r="N52" s="355"/>
      <c r="P52" s="172"/>
      <c r="T52" s="183"/>
      <c r="W52" s="141"/>
      <c r="X52" s="365"/>
    </row>
    <row r="53" spans="2:24" s="23" customFormat="1">
      <c r="B53" s="140"/>
      <c r="C53" s="363"/>
      <c r="D53" s="364"/>
      <c r="E53" s="182"/>
      <c r="F53" s="355"/>
      <c r="G53" s="182"/>
      <c r="H53" s="182"/>
      <c r="I53" s="357"/>
      <c r="L53" s="364"/>
      <c r="M53" s="141"/>
      <c r="N53" s="355"/>
      <c r="P53" s="172"/>
      <c r="T53" s="183"/>
      <c r="W53" s="141"/>
      <c r="X53" s="365"/>
    </row>
    <row r="54" spans="2:24" s="23" customFormat="1">
      <c r="B54" s="140"/>
      <c r="D54" s="141"/>
      <c r="E54" s="182"/>
      <c r="F54" s="355"/>
      <c r="G54" s="182"/>
      <c r="H54" s="182"/>
      <c r="I54" s="357"/>
      <c r="M54" s="141"/>
      <c r="N54" s="355"/>
      <c r="P54" s="172"/>
      <c r="T54" s="183"/>
      <c r="W54" s="141"/>
      <c r="X54" s="365"/>
    </row>
    <row r="55" spans="2:24" s="23" customFormat="1">
      <c r="B55" s="140"/>
      <c r="D55" s="141"/>
      <c r="E55" s="182"/>
      <c r="F55" s="355"/>
      <c r="G55" s="182"/>
      <c r="H55" s="182"/>
      <c r="I55" s="357"/>
      <c r="M55" s="141"/>
      <c r="N55" s="355"/>
      <c r="P55" s="172"/>
      <c r="T55" s="183"/>
      <c r="W55" s="141"/>
      <c r="X55" s="365"/>
    </row>
    <row r="56" spans="2:24" s="23" customFormat="1">
      <c r="B56" s="140"/>
      <c r="D56" s="141"/>
      <c r="E56" s="182"/>
      <c r="F56" s="355"/>
      <c r="G56" s="182"/>
      <c r="H56" s="182"/>
      <c r="I56" s="357"/>
      <c r="M56" s="141"/>
      <c r="N56" s="355"/>
      <c r="P56" s="172"/>
      <c r="T56" s="183"/>
      <c r="W56" s="141"/>
      <c r="X56" s="365"/>
    </row>
  </sheetData>
  <mergeCells count="23">
    <mergeCell ref="O45:P45"/>
    <mergeCell ref="O46:P46"/>
    <mergeCell ref="D52:E52"/>
    <mergeCell ref="F34:J34"/>
    <mergeCell ref="O34:Q34"/>
    <mergeCell ref="R34:S34"/>
    <mergeCell ref="O42:P42"/>
    <mergeCell ref="O43:P43"/>
    <mergeCell ref="O44:P44"/>
    <mergeCell ref="A24:D24"/>
    <mergeCell ref="D25:E25"/>
    <mergeCell ref="D26:E26"/>
    <mergeCell ref="O26:W27"/>
    <mergeCell ref="D27:E27"/>
    <mergeCell ref="D28:E28"/>
    <mergeCell ref="O28:W29"/>
    <mergeCell ref="C29:D29"/>
    <mergeCell ref="U2:W2"/>
    <mergeCell ref="G3:H3"/>
    <mergeCell ref="U4:V4"/>
    <mergeCell ref="R22:T22"/>
    <mergeCell ref="R23:U23"/>
    <mergeCell ref="V23:W23"/>
  </mergeCells>
  <pageMargins left="0.31496062992125984" right="0.11811023622047245" top="0.74803149606299213" bottom="0.35433070866141736" header="0.31496062992125984" footer="0.31496062992125984"/>
  <pageSetup paperSize="9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199"/>
  <sheetViews>
    <sheetView topLeftCell="A31" workbookViewId="0">
      <selection activeCell="J45" sqref="J45"/>
    </sheetView>
  </sheetViews>
  <sheetFormatPr defaultColWidth="9.26953125" defaultRowHeight="11.5"/>
  <cols>
    <col min="1" max="1" width="3.7265625" style="140" customWidth="1"/>
    <col min="2" max="2" width="4.26953125" style="23" customWidth="1"/>
    <col min="3" max="3" width="6" style="23" customWidth="1"/>
    <col min="4" max="4" width="20.1796875" style="23" customWidth="1"/>
    <col min="5" max="5" width="4.7265625" style="23" customWidth="1"/>
    <col min="6" max="6" width="5.81640625" style="141" customWidth="1"/>
    <col min="7" max="7" width="4.453125" style="23" customWidth="1"/>
    <col min="8" max="8" width="8" style="87" customWidth="1"/>
    <col min="9" max="9" width="6.7265625" style="87" customWidth="1"/>
    <col min="10" max="10" width="7.7265625" style="87" customWidth="1"/>
    <col min="11" max="11" width="4.453125" style="23" customWidth="1"/>
    <col min="12" max="12" width="6.7265625" style="23" customWidth="1"/>
    <col min="13" max="13" width="6.54296875" style="23" customWidth="1"/>
    <col min="14" max="15" width="7.1796875" style="23" customWidth="1"/>
    <col min="16" max="17" width="8.7265625" style="87" customWidth="1"/>
    <col min="18" max="18" width="7.1796875" style="25" customWidth="1"/>
    <col min="19" max="19" width="5.26953125" style="26" customWidth="1"/>
    <col min="20" max="20" width="7" style="139" customWidth="1"/>
    <col min="21" max="21" width="4" style="21" customWidth="1"/>
    <col min="22" max="22" width="6.26953125" style="22" customWidth="1"/>
    <col min="23" max="16384" width="9.26953125" style="23"/>
  </cols>
  <sheetData>
    <row r="1" spans="1:23">
      <c r="A1" s="14"/>
      <c r="B1" s="15"/>
      <c r="C1" s="15"/>
      <c r="D1" s="15"/>
      <c r="E1" s="15"/>
      <c r="F1" s="16"/>
      <c r="G1" s="15"/>
      <c r="H1" s="17"/>
      <c r="I1" s="17"/>
      <c r="J1" s="17"/>
      <c r="K1" s="15"/>
      <c r="L1" s="15"/>
      <c r="M1" s="15"/>
      <c r="N1" s="15"/>
      <c r="O1" s="15"/>
      <c r="P1" s="17"/>
      <c r="Q1" s="17"/>
      <c r="R1" s="18"/>
      <c r="S1" s="19"/>
      <c r="T1" s="20" t="s">
        <v>276</v>
      </c>
    </row>
    <row r="2" spans="1:23">
      <c r="A2" s="791" t="s">
        <v>270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791"/>
      <c r="O2" s="791"/>
      <c r="P2" s="791"/>
      <c r="Q2" s="24"/>
      <c r="T2" s="27"/>
      <c r="U2" s="28"/>
    </row>
    <row r="3" spans="1:23" ht="12" thickBot="1">
      <c r="A3" s="792"/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  <c r="N3" s="792"/>
      <c r="O3" s="792"/>
      <c r="P3" s="792"/>
      <c r="Q3" s="15"/>
      <c r="R3" s="779" t="s">
        <v>0</v>
      </c>
      <c r="S3" s="779"/>
      <c r="T3" s="779"/>
      <c r="U3" s="22"/>
    </row>
    <row r="4" spans="1:23">
      <c r="A4" s="29"/>
      <c r="B4" s="30"/>
      <c r="C4" s="31"/>
      <c r="D4" s="32"/>
      <c r="E4" s="31" t="s">
        <v>1</v>
      </c>
      <c r="F4" s="33" t="s">
        <v>2</v>
      </c>
      <c r="G4" s="32"/>
      <c r="H4" s="34" t="s">
        <v>274</v>
      </c>
      <c r="I4" s="35"/>
      <c r="J4" s="35"/>
      <c r="K4" s="32"/>
      <c r="L4" s="36" t="s">
        <v>3</v>
      </c>
      <c r="M4" s="37" t="s">
        <v>4</v>
      </c>
      <c r="N4" s="37" t="s">
        <v>5</v>
      </c>
      <c r="O4" s="38" t="s">
        <v>6</v>
      </c>
      <c r="P4" s="39" t="s">
        <v>273</v>
      </c>
      <c r="Q4" s="40" t="s">
        <v>273</v>
      </c>
      <c r="R4" s="793"/>
      <c r="S4" s="794"/>
      <c r="T4" s="41" t="s">
        <v>133</v>
      </c>
      <c r="U4" s="42"/>
    </row>
    <row r="5" spans="1:23" s="56" customFormat="1" ht="35" thickBot="1">
      <c r="A5" s="43"/>
      <c r="B5" s="44" t="s">
        <v>8</v>
      </c>
      <c r="C5" s="45"/>
      <c r="D5" s="46" t="s">
        <v>9</v>
      </c>
      <c r="E5" s="47" t="s">
        <v>10</v>
      </c>
      <c r="F5" s="48" t="s">
        <v>11</v>
      </c>
      <c r="G5" s="49" t="s">
        <v>12</v>
      </c>
      <c r="H5" s="50" t="s">
        <v>13</v>
      </c>
      <c r="I5" s="51" t="s">
        <v>138</v>
      </c>
      <c r="J5" s="51" t="s">
        <v>14</v>
      </c>
      <c r="K5" s="13" t="s">
        <v>15</v>
      </c>
      <c r="L5" s="47" t="s">
        <v>16</v>
      </c>
      <c r="M5" s="52" t="s">
        <v>17</v>
      </c>
      <c r="N5" s="52" t="s">
        <v>18</v>
      </c>
      <c r="O5" s="52" t="s">
        <v>19</v>
      </c>
      <c r="P5" s="1" t="s">
        <v>20</v>
      </c>
      <c r="Q5" s="2" t="s">
        <v>21</v>
      </c>
      <c r="R5" s="795" t="s">
        <v>267</v>
      </c>
      <c r="S5" s="796"/>
      <c r="T5" s="53" t="s">
        <v>23</v>
      </c>
      <c r="U5" s="54"/>
      <c r="V5" s="55"/>
    </row>
    <row r="6" spans="1:23" ht="12" thickBot="1">
      <c r="A6" s="57">
        <f>SUM(A7:A38)</f>
        <v>32</v>
      </c>
      <c r="B6" s="58"/>
      <c r="C6" s="58"/>
      <c r="D6" s="59" t="s">
        <v>24</v>
      </c>
      <c r="E6" s="60">
        <f t="shared" ref="E6:Q6" si="0">SUM(E7:E38)</f>
        <v>186</v>
      </c>
      <c r="F6" s="61">
        <f t="shared" si="0"/>
        <v>21262</v>
      </c>
      <c r="G6" s="62">
        <f t="shared" si="0"/>
        <v>149</v>
      </c>
      <c r="H6" s="636">
        <f t="shared" si="0"/>
        <v>2050585</v>
      </c>
      <c r="I6" s="63">
        <f t="shared" si="0"/>
        <v>356064</v>
      </c>
      <c r="J6" s="636">
        <f t="shared" si="0"/>
        <v>1694521</v>
      </c>
      <c r="K6" s="62">
        <f t="shared" si="0"/>
        <v>172</v>
      </c>
      <c r="L6" s="64">
        <f t="shared" si="0"/>
        <v>75936</v>
      </c>
      <c r="M6" s="65">
        <f t="shared" si="0"/>
        <v>75947.25</v>
      </c>
      <c r="N6" s="65">
        <f t="shared" si="0"/>
        <v>151894.5</v>
      </c>
      <c r="O6" s="65">
        <f t="shared" si="0"/>
        <v>75947.250000000029</v>
      </c>
      <c r="P6" s="66">
        <f t="shared" si="0"/>
        <v>379725.00000000006</v>
      </c>
      <c r="Q6" s="67">
        <f t="shared" si="0"/>
        <v>375150</v>
      </c>
      <c r="R6" s="68">
        <f t="shared" ref="R6:R38" si="1">+P6-T6</f>
        <v>3842.0000000000582</v>
      </c>
      <c r="S6" s="69">
        <f t="shared" ref="S6:S38" si="2">+R6/T6*100</f>
        <v>1.0221265659793228</v>
      </c>
      <c r="T6" s="70">
        <f>SUM(T7:T38)</f>
        <v>375883</v>
      </c>
      <c r="U6" s="71"/>
    </row>
    <row r="7" spans="1:23" ht="13">
      <c r="A7" s="72">
        <v>1</v>
      </c>
      <c r="B7" s="73">
        <v>1</v>
      </c>
      <c r="C7" s="797" t="s">
        <v>25</v>
      </c>
      <c r="D7" s="797"/>
      <c r="E7" s="74">
        <v>24</v>
      </c>
      <c r="F7" s="74">
        <v>1870</v>
      </c>
      <c r="G7" s="661">
        <v>8</v>
      </c>
      <c r="H7" s="76">
        <v>162677</v>
      </c>
      <c r="I7" s="84">
        <v>25531</v>
      </c>
      <c r="J7" s="649">
        <f t="shared" ref="J7:J38" si="3">+H7-I7</f>
        <v>137146</v>
      </c>
      <c r="K7" s="75">
        <v>9</v>
      </c>
      <c r="L7" s="79">
        <f t="shared" ref="L7:L38" si="4">+$J$44</f>
        <v>2373</v>
      </c>
      <c r="M7" s="80">
        <f t="shared" ref="M7:M38" si="5">+$P$45*E7/$E$6</f>
        <v>9799.645161290322</v>
      </c>
      <c r="N7" s="80">
        <f t="shared" ref="N7:N38" si="6">+$P$46*G7/$G$6</f>
        <v>8155.4093959731545</v>
      </c>
      <c r="O7" s="80">
        <f t="shared" ref="O7:O38" si="7">+$P$47*K7/$K$6</f>
        <v>3973.984011627907</v>
      </c>
      <c r="P7" s="81">
        <f t="shared" ref="P7:P38" si="8">SUM(L7:O7)</f>
        <v>24302.038568891385</v>
      </c>
      <c r="Q7" s="629">
        <v>24008</v>
      </c>
      <c r="R7" s="665">
        <f t="shared" si="1"/>
        <v>-881.96143110861522</v>
      </c>
      <c r="S7" s="666">
        <f t="shared" si="2"/>
        <v>-3.5020704856600036</v>
      </c>
      <c r="T7" s="644">
        <v>25184</v>
      </c>
      <c r="U7" s="670"/>
      <c r="V7" s="86">
        <f>+R7</f>
        <v>-881.96143110861522</v>
      </c>
      <c r="W7" s="87"/>
    </row>
    <row r="8" spans="1:23" ht="13">
      <c r="A8" s="88">
        <v>1</v>
      </c>
      <c r="B8" s="89">
        <v>2</v>
      </c>
      <c r="C8" s="790" t="s">
        <v>26</v>
      </c>
      <c r="D8" s="790"/>
      <c r="E8" s="90">
        <v>23</v>
      </c>
      <c r="F8" s="90">
        <v>6531</v>
      </c>
      <c r="G8" s="91">
        <v>10</v>
      </c>
      <c r="H8" s="92">
        <v>56213</v>
      </c>
      <c r="I8" s="102">
        <v>23209</v>
      </c>
      <c r="J8" s="110">
        <f t="shared" si="3"/>
        <v>33004</v>
      </c>
      <c r="K8" s="111">
        <v>7</v>
      </c>
      <c r="L8" s="96">
        <f t="shared" si="4"/>
        <v>2373</v>
      </c>
      <c r="M8" s="97">
        <f t="shared" si="5"/>
        <v>9391.3266129032254</v>
      </c>
      <c r="N8" s="97">
        <f t="shared" si="6"/>
        <v>10194.261744966443</v>
      </c>
      <c r="O8" s="97">
        <f t="shared" si="7"/>
        <v>3090.8764534883721</v>
      </c>
      <c r="P8" s="98">
        <f t="shared" si="8"/>
        <v>25049.464811358041</v>
      </c>
      <c r="Q8" s="99">
        <v>24747</v>
      </c>
      <c r="R8" s="100">
        <f t="shared" si="1"/>
        <v>934.46481135804061</v>
      </c>
      <c r="S8" s="101">
        <f t="shared" si="2"/>
        <v>3.875035502210411</v>
      </c>
      <c r="T8" s="644">
        <v>24115</v>
      </c>
      <c r="U8" s="671"/>
      <c r="V8" s="86"/>
      <c r="W8" s="87"/>
    </row>
    <row r="9" spans="1:23" ht="13">
      <c r="A9" s="88">
        <v>1</v>
      </c>
      <c r="B9" s="89">
        <v>3</v>
      </c>
      <c r="C9" s="790" t="s">
        <v>27</v>
      </c>
      <c r="D9" s="790"/>
      <c r="E9" s="104">
        <v>16</v>
      </c>
      <c r="F9" s="104">
        <v>1418</v>
      </c>
      <c r="G9" s="91">
        <v>8</v>
      </c>
      <c r="H9" s="92">
        <v>75541</v>
      </c>
      <c r="I9" s="102">
        <v>19256</v>
      </c>
      <c r="J9" s="94">
        <f t="shared" si="3"/>
        <v>56285</v>
      </c>
      <c r="K9" s="111">
        <v>7</v>
      </c>
      <c r="L9" s="96">
        <f t="shared" si="4"/>
        <v>2373</v>
      </c>
      <c r="M9" s="97">
        <f t="shared" si="5"/>
        <v>6533.0967741935483</v>
      </c>
      <c r="N9" s="97">
        <f t="shared" si="6"/>
        <v>8155.4093959731545</v>
      </c>
      <c r="O9" s="97">
        <f t="shared" si="7"/>
        <v>3090.8764534883721</v>
      </c>
      <c r="P9" s="98">
        <f t="shared" si="8"/>
        <v>20152.382623655074</v>
      </c>
      <c r="Q9" s="178">
        <v>19909</v>
      </c>
      <c r="R9" s="667">
        <f t="shared" si="1"/>
        <v>84.382623655073985</v>
      </c>
      <c r="S9" s="668">
        <f t="shared" si="2"/>
        <v>0.42048347446219847</v>
      </c>
      <c r="T9" s="644">
        <v>20068</v>
      </c>
      <c r="U9" s="670"/>
      <c r="V9" s="86">
        <f>+R9</f>
        <v>84.382623655073985</v>
      </c>
      <c r="W9" s="87"/>
    </row>
    <row r="10" spans="1:23" ht="13">
      <c r="A10" s="88">
        <v>1</v>
      </c>
      <c r="B10" s="89">
        <v>4</v>
      </c>
      <c r="C10" s="790" t="s">
        <v>28</v>
      </c>
      <c r="D10" s="790"/>
      <c r="E10" s="90">
        <v>14</v>
      </c>
      <c r="F10" s="104">
        <v>1551</v>
      </c>
      <c r="G10" s="91">
        <v>8</v>
      </c>
      <c r="H10" s="92">
        <v>374950</v>
      </c>
      <c r="I10" s="102">
        <v>19742</v>
      </c>
      <c r="J10" s="94">
        <f t="shared" si="3"/>
        <v>355208</v>
      </c>
      <c r="K10" s="91">
        <v>10</v>
      </c>
      <c r="L10" s="96">
        <f t="shared" si="4"/>
        <v>2373</v>
      </c>
      <c r="M10" s="97">
        <f t="shared" si="5"/>
        <v>5716.4596774193551</v>
      </c>
      <c r="N10" s="97">
        <f t="shared" si="6"/>
        <v>8155.4093959731545</v>
      </c>
      <c r="O10" s="97">
        <f t="shared" si="7"/>
        <v>4415.5377906976746</v>
      </c>
      <c r="P10" s="98">
        <f t="shared" si="8"/>
        <v>20660.406864090186</v>
      </c>
      <c r="Q10" s="99">
        <v>20411</v>
      </c>
      <c r="R10" s="100">
        <f t="shared" si="1"/>
        <v>918.40686409018599</v>
      </c>
      <c r="S10" s="101">
        <f t="shared" si="2"/>
        <v>4.6520457101113664</v>
      </c>
      <c r="T10" s="644">
        <v>19742</v>
      </c>
      <c r="U10" s="671"/>
      <c r="V10" s="86"/>
      <c r="W10" s="87"/>
    </row>
    <row r="11" spans="1:23" ht="13">
      <c r="A11" s="88">
        <v>1</v>
      </c>
      <c r="B11" s="89">
        <v>5</v>
      </c>
      <c r="C11" s="790" t="s">
        <v>29</v>
      </c>
      <c r="D11" s="790"/>
      <c r="E11" s="90">
        <v>15</v>
      </c>
      <c r="F11" s="90">
        <v>1803</v>
      </c>
      <c r="G11" s="91">
        <v>8</v>
      </c>
      <c r="H11" s="92">
        <v>535685</v>
      </c>
      <c r="I11" s="102">
        <v>19742</v>
      </c>
      <c r="J11" s="94">
        <f t="shared" si="3"/>
        <v>515943</v>
      </c>
      <c r="K11" s="91">
        <v>10</v>
      </c>
      <c r="L11" s="96">
        <f t="shared" si="4"/>
        <v>2373</v>
      </c>
      <c r="M11" s="97">
        <f t="shared" si="5"/>
        <v>6124.7782258064517</v>
      </c>
      <c r="N11" s="97">
        <f t="shared" si="6"/>
        <v>8155.4093959731545</v>
      </c>
      <c r="O11" s="97">
        <f t="shared" si="7"/>
        <v>4415.5377906976746</v>
      </c>
      <c r="P11" s="98">
        <f t="shared" si="8"/>
        <v>21068.725412477281</v>
      </c>
      <c r="Q11" s="99">
        <v>20814</v>
      </c>
      <c r="R11" s="100">
        <f t="shared" si="1"/>
        <v>1326.7254124772808</v>
      </c>
      <c r="S11" s="101">
        <f t="shared" si="2"/>
        <v>6.7203191798058999</v>
      </c>
      <c r="T11" s="644">
        <v>19742</v>
      </c>
      <c r="U11" s="671"/>
      <c r="V11" s="86"/>
      <c r="W11" s="87"/>
    </row>
    <row r="12" spans="1:23" ht="13">
      <c r="A12" s="88">
        <v>1</v>
      </c>
      <c r="B12" s="89">
        <v>6</v>
      </c>
      <c r="C12" s="790" t="s">
        <v>30</v>
      </c>
      <c r="D12" s="790"/>
      <c r="E12" s="105">
        <v>17</v>
      </c>
      <c r="F12" s="108">
        <v>1172</v>
      </c>
      <c r="G12" s="111">
        <v>7</v>
      </c>
      <c r="H12" s="92">
        <v>49269</v>
      </c>
      <c r="I12" s="102">
        <v>19102</v>
      </c>
      <c r="J12" s="94">
        <f t="shared" si="3"/>
        <v>30167</v>
      </c>
      <c r="K12" s="111">
        <v>6</v>
      </c>
      <c r="L12" s="96">
        <f t="shared" si="4"/>
        <v>2373</v>
      </c>
      <c r="M12" s="97">
        <f t="shared" si="5"/>
        <v>6941.4153225806449</v>
      </c>
      <c r="N12" s="97">
        <f t="shared" si="6"/>
        <v>7135.9832214765102</v>
      </c>
      <c r="O12" s="97">
        <f t="shared" si="7"/>
        <v>2649.3226744186045</v>
      </c>
      <c r="P12" s="98">
        <f t="shared" si="8"/>
        <v>19099.721218475759</v>
      </c>
      <c r="Q12" s="178">
        <v>18869</v>
      </c>
      <c r="R12" s="667">
        <f t="shared" si="1"/>
        <v>-983.27878152424091</v>
      </c>
      <c r="S12" s="668">
        <f t="shared" si="2"/>
        <v>-4.8960751955596322</v>
      </c>
      <c r="T12" s="644">
        <v>20083</v>
      </c>
      <c r="U12" s="671"/>
      <c r="V12" s="86">
        <f>+R12</f>
        <v>-983.27878152424091</v>
      </c>
      <c r="W12" s="87"/>
    </row>
    <row r="13" spans="1:23" ht="13">
      <c r="A13" s="88">
        <v>1</v>
      </c>
      <c r="B13" s="89">
        <v>7</v>
      </c>
      <c r="C13" s="790" t="s">
        <v>31</v>
      </c>
      <c r="D13" s="790"/>
      <c r="E13" s="105">
        <v>10</v>
      </c>
      <c r="F13" s="108">
        <v>794</v>
      </c>
      <c r="G13" s="111">
        <v>6</v>
      </c>
      <c r="H13" s="92">
        <v>90077</v>
      </c>
      <c r="I13" s="102">
        <v>16294</v>
      </c>
      <c r="J13" s="650">
        <f t="shared" si="3"/>
        <v>73783</v>
      </c>
      <c r="K13" s="91">
        <v>8</v>
      </c>
      <c r="L13" s="96">
        <f t="shared" si="4"/>
        <v>2373</v>
      </c>
      <c r="M13" s="97">
        <f t="shared" si="5"/>
        <v>4083.1854838709678</v>
      </c>
      <c r="N13" s="97">
        <f t="shared" si="6"/>
        <v>6116.5570469798658</v>
      </c>
      <c r="O13" s="97">
        <f t="shared" si="7"/>
        <v>3532.4302325581393</v>
      </c>
      <c r="P13" s="98">
        <f t="shared" si="8"/>
        <v>16105.172763408973</v>
      </c>
      <c r="Q13" s="178">
        <v>15911</v>
      </c>
      <c r="R13" s="667">
        <f t="shared" si="1"/>
        <v>-188.82723659102703</v>
      </c>
      <c r="S13" s="668">
        <f t="shared" si="2"/>
        <v>-1.1588758843195472</v>
      </c>
      <c r="T13" s="644">
        <v>16294</v>
      </c>
      <c r="U13" s="671"/>
      <c r="V13" s="86">
        <f>+R13</f>
        <v>-188.82723659102703</v>
      </c>
      <c r="W13" s="87"/>
    </row>
    <row r="14" spans="1:23" ht="13">
      <c r="A14" s="88">
        <v>1</v>
      </c>
      <c r="B14" s="89">
        <v>8</v>
      </c>
      <c r="C14" s="790" t="s">
        <v>32</v>
      </c>
      <c r="D14" s="790"/>
      <c r="E14" s="104">
        <v>12</v>
      </c>
      <c r="F14" s="104">
        <v>696</v>
      </c>
      <c r="G14" s="91">
        <v>6</v>
      </c>
      <c r="H14" s="92">
        <v>30608</v>
      </c>
      <c r="I14" s="102">
        <v>14816</v>
      </c>
      <c r="J14" s="106">
        <f t="shared" si="3"/>
        <v>15792</v>
      </c>
      <c r="K14" s="111">
        <v>5</v>
      </c>
      <c r="L14" s="96">
        <f t="shared" si="4"/>
        <v>2373</v>
      </c>
      <c r="M14" s="97">
        <f t="shared" si="5"/>
        <v>4899.822580645161</v>
      </c>
      <c r="N14" s="97">
        <f t="shared" si="6"/>
        <v>6116.5570469798658</v>
      </c>
      <c r="O14" s="97">
        <f t="shared" si="7"/>
        <v>2207.7688953488373</v>
      </c>
      <c r="P14" s="98">
        <f t="shared" si="8"/>
        <v>15597.148522973865</v>
      </c>
      <c r="Q14" s="178">
        <v>15409</v>
      </c>
      <c r="R14" s="667">
        <f t="shared" si="1"/>
        <v>-39.851477026135399</v>
      </c>
      <c r="S14" s="668">
        <f t="shared" si="2"/>
        <v>-0.25485372530623135</v>
      </c>
      <c r="T14" s="644">
        <v>15637</v>
      </c>
      <c r="U14" s="671"/>
      <c r="V14" s="86">
        <f>+R14</f>
        <v>-39.851477026135399</v>
      </c>
      <c r="W14" s="87"/>
    </row>
    <row r="15" spans="1:23" ht="13">
      <c r="A15" s="88">
        <v>1</v>
      </c>
      <c r="B15" s="89">
        <v>9</v>
      </c>
      <c r="C15" s="790" t="s">
        <v>33</v>
      </c>
      <c r="D15" s="790"/>
      <c r="E15" s="104">
        <v>11</v>
      </c>
      <c r="F15" s="104">
        <v>595</v>
      </c>
      <c r="G15" s="91">
        <v>6</v>
      </c>
      <c r="H15" s="92">
        <v>43508</v>
      </c>
      <c r="I15" s="102">
        <v>15708</v>
      </c>
      <c r="J15" s="110">
        <f t="shared" si="3"/>
        <v>27800</v>
      </c>
      <c r="K15" s="111">
        <v>6</v>
      </c>
      <c r="L15" s="96">
        <f t="shared" si="4"/>
        <v>2373</v>
      </c>
      <c r="M15" s="97">
        <f t="shared" si="5"/>
        <v>4491.5040322580644</v>
      </c>
      <c r="N15" s="97">
        <f t="shared" si="6"/>
        <v>6116.5570469798658</v>
      </c>
      <c r="O15" s="97">
        <f t="shared" si="7"/>
        <v>2649.3226744186045</v>
      </c>
      <c r="P15" s="98">
        <f t="shared" si="8"/>
        <v>15630.383753656535</v>
      </c>
      <c r="Q15" s="178">
        <v>15442</v>
      </c>
      <c r="R15" s="667">
        <f t="shared" si="1"/>
        <v>-390.61624634346481</v>
      </c>
      <c r="S15" s="668">
        <f t="shared" si="2"/>
        <v>-2.4381514658477301</v>
      </c>
      <c r="T15" s="644">
        <v>16021</v>
      </c>
      <c r="U15" s="671"/>
      <c r="V15" s="86">
        <f>+R15</f>
        <v>-390.61624634346481</v>
      </c>
      <c r="W15" s="87"/>
    </row>
    <row r="16" spans="1:23" ht="13">
      <c r="A16" s="88">
        <v>1</v>
      </c>
      <c r="B16" s="89">
        <v>10</v>
      </c>
      <c r="C16" s="790" t="s">
        <v>34</v>
      </c>
      <c r="D16" s="790"/>
      <c r="E16" s="105">
        <v>3</v>
      </c>
      <c r="F16" s="104">
        <v>334</v>
      </c>
      <c r="G16" s="91">
        <v>5</v>
      </c>
      <c r="H16" s="92">
        <v>31747</v>
      </c>
      <c r="I16" s="102">
        <v>10640</v>
      </c>
      <c r="J16" s="94">
        <f t="shared" si="3"/>
        <v>21107</v>
      </c>
      <c r="K16" s="91">
        <v>6</v>
      </c>
      <c r="L16" s="96">
        <f t="shared" si="4"/>
        <v>2373</v>
      </c>
      <c r="M16" s="97">
        <f t="shared" si="5"/>
        <v>1224.9556451612902</v>
      </c>
      <c r="N16" s="97">
        <f t="shared" si="6"/>
        <v>5097.1308724832215</v>
      </c>
      <c r="O16" s="109">
        <f t="shared" si="7"/>
        <v>2649.3226744186045</v>
      </c>
      <c r="P16" s="98">
        <f t="shared" si="8"/>
        <v>11344.409192063116</v>
      </c>
      <c r="Q16" s="99">
        <v>11208</v>
      </c>
      <c r="R16" s="100">
        <f t="shared" si="1"/>
        <v>425.40919206311628</v>
      </c>
      <c r="S16" s="101">
        <f t="shared" si="2"/>
        <v>3.8960453527165151</v>
      </c>
      <c r="T16" s="644">
        <v>10919</v>
      </c>
      <c r="U16" s="670"/>
      <c r="V16" s="86"/>
      <c r="W16" s="87"/>
    </row>
    <row r="17" spans="1:23" ht="13">
      <c r="A17" s="88">
        <v>1</v>
      </c>
      <c r="B17" s="89">
        <v>11</v>
      </c>
      <c r="C17" s="790" t="s">
        <v>35</v>
      </c>
      <c r="D17" s="790"/>
      <c r="E17" s="104">
        <v>5</v>
      </c>
      <c r="F17" s="104">
        <v>516</v>
      </c>
      <c r="G17" s="91">
        <v>6</v>
      </c>
      <c r="H17" s="92">
        <v>23334</v>
      </c>
      <c r="I17" s="102">
        <v>12873</v>
      </c>
      <c r="J17" s="106">
        <f t="shared" si="3"/>
        <v>10461</v>
      </c>
      <c r="K17" s="111">
        <v>5</v>
      </c>
      <c r="L17" s="96">
        <f t="shared" si="4"/>
        <v>2373</v>
      </c>
      <c r="M17" s="97">
        <f t="shared" si="5"/>
        <v>2041.5927419354839</v>
      </c>
      <c r="N17" s="97">
        <f t="shared" si="6"/>
        <v>6116.5570469798658</v>
      </c>
      <c r="O17" s="109">
        <f t="shared" si="7"/>
        <v>2207.7688953488373</v>
      </c>
      <c r="P17" s="98">
        <f t="shared" si="8"/>
        <v>12738.918684264188</v>
      </c>
      <c r="Q17" s="178">
        <v>12585</v>
      </c>
      <c r="R17" s="667">
        <f t="shared" si="1"/>
        <v>3.9186842641884141</v>
      </c>
      <c r="S17" s="668">
        <f t="shared" si="2"/>
        <v>3.0770979695236862E-2</v>
      </c>
      <c r="T17" s="644">
        <v>12735</v>
      </c>
      <c r="U17" s="671"/>
      <c r="V17" s="86">
        <f>+R17</f>
        <v>3.9186842641884141</v>
      </c>
      <c r="W17" s="87"/>
    </row>
    <row r="18" spans="1:23" ht="13">
      <c r="A18" s="88">
        <v>1</v>
      </c>
      <c r="B18" s="89">
        <v>12</v>
      </c>
      <c r="C18" s="790" t="s">
        <v>36</v>
      </c>
      <c r="D18" s="790"/>
      <c r="E18" s="105">
        <v>1</v>
      </c>
      <c r="F18" s="104">
        <v>345</v>
      </c>
      <c r="G18" s="91">
        <v>5</v>
      </c>
      <c r="H18" s="92">
        <v>25037</v>
      </c>
      <c r="I18" s="102">
        <v>11658</v>
      </c>
      <c r="J18" s="106">
        <f t="shared" si="3"/>
        <v>13379</v>
      </c>
      <c r="K18" s="111">
        <v>5</v>
      </c>
      <c r="L18" s="96">
        <f t="shared" si="4"/>
        <v>2373</v>
      </c>
      <c r="M18" s="97">
        <f t="shared" si="5"/>
        <v>408.31854838709677</v>
      </c>
      <c r="N18" s="97">
        <f t="shared" si="6"/>
        <v>5097.1308724832215</v>
      </c>
      <c r="O18" s="109">
        <f t="shared" si="7"/>
        <v>2207.7688953488373</v>
      </c>
      <c r="P18" s="98">
        <f t="shared" si="8"/>
        <v>10086.218316219156</v>
      </c>
      <c r="Q18" s="178">
        <v>9965</v>
      </c>
      <c r="R18" s="667">
        <f t="shared" si="1"/>
        <v>-402.78168378084411</v>
      </c>
      <c r="S18" s="668">
        <f t="shared" si="2"/>
        <v>-3.8400389339388323</v>
      </c>
      <c r="T18" s="644">
        <v>10489</v>
      </c>
      <c r="U18" s="671"/>
      <c r="V18" s="86">
        <f>+R18</f>
        <v>-402.78168378084411</v>
      </c>
      <c r="W18" s="87"/>
    </row>
    <row r="19" spans="1:23" ht="13">
      <c r="A19" s="88">
        <v>1</v>
      </c>
      <c r="B19" s="89">
        <v>13</v>
      </c>
      <c r="C19" s="790" t="s">
        <v>37</v>
      </c>
      <c r="D19" s="790"/>
      <c r="E19" s="104">
        <v>4</v>
      </c>
      <c r="F19" s="104">
        <v>382</v>
      </c>
      <c r="G19" s="91">
        <v>5</v>
      </c>
      <c r="H19" s="92">
        <v>51010</v>
      </c>
      <c r="I19" s="102">
        <v>11477</v>
      </c>
      <c r="J19" s="94">
        <f t="shared" si="3"/>
        <v>39533</v>
      </c>
      <c r="K19" s="95">
        <v>7</v>
      </c>
      <c r="L19" s="96">
        <f t="shared" si="4"/>
        <v>2373</v>
      </c>
      <c r="M19" s="97">
        <f t="shared" si="5"/>
        <v>1633.2741935483871</v>
      </c>
      <c r="N19" s="97">
        <f t="shared" si="6"/>
        <v>5097.1308724832215</v>
      </c>
      <c r="O19" s="109">
        <f t="shared" si="7"/>
        <v>3090.8764534883721</v>
      </c>
      <c r="P19" s="98">
        <f t="shared" si="8"/>
        <v>12194.281519519982</v>
      </c>
      <c r="Q19" s="99">
        <v>12047</v>
      </c>
      <c r="R19" s="100">
        <f t="shared" si="1"/>
        <v>717.28151951998188</v>
      </c>
      <c r="S19" s="112">
        <f t="shared" si="2"/>
        <v>6.2497300646508833</v>
      </c>
      <c r="T19" s="644">
        <v>11477</v>
      </c>
      <c r="U19" s="670"/>
      <c r="V19" s="86"/>
      <c r="W19" s="87"/>
    </row>
    <row r="20" spans="1:23" ht="13">
      <c r="A20" s="88">
        <v>1</v>
      </c>
      <c r="B20" s="89">
        <v>14</v>
      </c>
      <c r="C20" s="790" t="s">
        <v>38</v>
      </c>
      <c r="D20" s="790"/>
      <c r="E20" s="90">
        <v>8</v>
      </c>
      <c r="F20" s="104">
        <v>315</v>
      </c>
      <c r="G20" s="91">
        <v>5</v>
      </c>
      <c r="H20" s="92">
        <v>15535</v>
      </c>
      <c r="I20" s="102">
        <v>12260</v>
      </c>
      <c r="J20" s="110">
        <f t="shared" si="3"/>
        <v>3275</v>
      </c>
      <c r="K20" s="111">
        <v>3</v>
      </c>
      <c r="L20" s="113">
        <f t="shared" si="4"/>
        <v>2373</v>
      </c>
      <c r="M20" s="109">
        <f t="shared" si="5"/>
        <v>3266.5483870967741</v>
      </c>
      <c r="N20" s="109">
        <f t="shared" si="6"/>
        <v>5097.1308724832215</v>
      </c>
      <c r="O20" s="109">
        <f t="shared" si="7"/>
        <v>1324.6613372093022</v>
      </c>
      <c r="P20" s="98">
        <f t="shared" si="8"/>
        <v>12061.340596789298</v>
      </c>
      <c r="Q20" s="178">
        <v>11916</v>
      </c>
      <c r="R20" s="667">
        <f t="shared" si="1"/>
        <v>-1313.6594032107023</v>
      </c>
      <c r="S20" s="669">
        <f t="shared" si="2"/>
        <v>-9.8217525473697371</v>
      </c>
      <c r="T20" s="644">
        <v>13375</v>
      </c>
      <c r="U20" s="670"/>
      <c r="V20" s="86">
        <f>+R20</f>
        <v>-1313.6594032107023</v>
      </c>
      <c r="W20" s="87"/>
    </row>
    <row r="21" spans="1:23" ht="13">
      <c r="A21" s="88">
        <v>1</v>
      </c>
      <c r="B21" s="89">
        <v>15</v>
      </c>
      <c r="C21" s="790" t="s">
        <v>39</v>
      </c>
      <c r="D21" s="790"/>
      <c r="E21" s="114">
        <v>7</v>
      </c>
      <c r="F21" s="108">
        <v>370</v>
      </c>
      <c r="G21" s="91">
        <v>5</v>
      </c>
      <c r="H21" s="92">
        <v>32999</v>
      </c>
      <c r="I21" s="102">
        <v>13224</v>
      </c>
      <c r="J21" s="110">
        <f>+H21-I21</f>
        <v>19775</v>
      </c>
      <c r="K21" s="111">
        <v>6</v>
      </c>
      <c r="L21" s="96">
        <f t="shared" si="4"/>
        <v>2373</v>
      </c>
      <c r="M21" s="97">
        <f t="shared" si="5"/>
        <v>2858.2298387096776</v>
      </c>
      <c r="N21" s="97">
        <f t="shared" si="6"/>
        <v>5097.1308724832215</v>
      </c>
      <c r="O21" s="109">
        <f t="shared" si="7"/>
        <v>2649.3226744186045</v>
      </c>
      <c r="P21" s="98">
        <f t="shared" si="8"/>
        <v>12977.683385611504</v>
      </c>
      <c r="Q21" s="178">
        <v>12821</v>
      </c>
      <c r="R21" s="667">
        <f t="shared" si="1"/>
        <v>1.683385611504491</v>
      </c>
      <c r="S21" s="669">
        <f t="shared" si="2"/>
        <v>1.2973070372260257E-2</v>
      </c>
      <c r="T21" s="644">
        <v>12976</v>
      </c>
      <c r="U21" s="670"/>
      <c r="V21" s="86">
        <f>+R21</f>
        <v>1.683385611504491</v>
      </c>
      <c r="W21" s="87"/>
    </row>
    <row r="22" spans="1:23" ht="13">
      <c r="A22" s="88">
        <v>1</v>
      </c>
      <c r="B22" s="89">
        <v>16</v>
      </c>
      <c r="C22" s="790" t="s">
        <v>40</v>
      </c>
      <c r="D22" s="790"/>
      <c r="E22" s="105">
        <v>2</v>
      </c>
      <c r="F22" s="104">
        <v>159</v>
      </c>
      <c r="G22" s="91">
        <v>3</v>
      </c>
      <c r="H22" s="92">
        <v>9028</v>
      </c>
      <c r="I22" s="102">
        <v>6652</v>
      </c>
      <c r="J22" s="94">
        <f>+H22-I22</f>
        <v>2376</v>
      </c>
      <c r="K22" s="91">
        <v>3</v>
      </c>
      <c r="L22" s="96">
        <f t="shared" si="4"/>
        <v>2373</v>
      </c>
      <c r="M22" s="97">
        <f t="shared" si="5"/>
        <v>816.63709677419354</v>
      </c>
      <c r="N22" s="97">
        <f t="shared" si="6"/>
        <v>3058.2785234899329</v>
      </c>
      <c r="O22" s="109">
        <f t="shared" si="7"/>
        <v>1324.6613372093022</v>
      </c>
      <c r="P22" s="98">
        <f t="shared" si="8"/>
        <v>7572.5769574734286</v>
      </c>
      <c r="Q22" s="99">
        <v>7482</v>
      </c>
      <c r="R22" s="100">
        <f t="shared" si="1"/>
        <v>239.57695747342859</v>
      </c>
      <c r="S22" s="112">
        <f t="shared" si="2"/>
        <v>3.2671070158656565</v>
      </c>
      <c r="T22" s="644">
        <v>7333</v>
      </c>
      <c r="U22" s="671"/>
      <c r="V22" s="86"/>
      <c r="W22" s="87"/>
    </row>
    <row r="23" spans="1:23" ht="13">
      <c r="A23" s="88">
        <v>1</v>
      </c>
      <c r="B23" s="89">
        <v>17</v>
      </c>
      <c r="C23" s="790" t="s">
        <v>41</v>
      </c>
      <c r="D23" s="790"/>
      <c r="E23" s="105">
        <v>0</v>
      </c>
      <c r="F23" s="90">
        <v>90</v>
      </c>
      <c r="G23" s="91">
        <v>2</v>
      </c>
      <c r="H23" s="92">
        <v>9822</v>
      </c>
      <c r="I23" s="102">
        <v>6714</v>
      </c>
      <c r="J23" s="94">
        <f t="shared" si="3"/>
        <v>3108</v>
      </c>
      <c r="K23" s="91">
        <v>3</v>
      </c>
      <c r="L23" s="96">
        <f t="shared" si="4"/>
        <v>2373</v>
      </c>
      <c r="M23" s="97">
        <f t="shared" si="5"/>
        <v>0</v>
      </c>
      <c r="N23" s="97">
        <f t="shared" si="6"/>
        <v>2038.8523489932886</v>
      </c>
      <c r="O23" s="109">
        <f t="shared" si="7"/>
        <v>1324.6613372093022</v>
      </c>
      <c r="P23" s="98">
        <f t="shared" si="8"/>
        <v>5736.5136862025911</v>
      </c>
      <c r="Q23" s="99">
        <v>5668</v>
      </c>
      <c r="R23" s="100">
        <f t="shared" si="1"/>
        <v>219.51368620259109</v>
      </c>
      <c r="S23" s="112">
        <f t="shared" si="2"/>
        <v>3.9788596375311056</v>
      </c>
      <c r="T23" s="644">
        <v>5517</v>
      </c>
      <c r="U23" s="671"/>
      <c r="V23" s="86"/>
      <c r="W23" s="87"/>
    </row>
    <row r="24" spans="1:23" ht="13">
      <c r="A24" s="88">
        <v>1</v>
      </c>
      <c r="B24" s="89">
        <v>18</v>
      </c>
      <c r="C24" s="790" t="s">
        <v>42</v>
      </c>
      <c r="D24" s="790"/>
      <c r="E24" s="105">
        <v>0</v>
      </c>
      <c r="F24" s="90">
        <v>170</v>
      </c>
      <c r="G24" s="95">
        <v>4</v>
      </c>
      <c r="H24" s="92">
        <v>11740</v>
      </c>
      <c r="I24" s="102">
        <v>9225</v>
      </c>
      <c r="J24" s="106">
        <f t="shared" si="3"/>
        <v>2515</v>
      </c>
      <c r="K24" s="111">
        <v>3</v>
      </c>
      <c r="L24" s="96">
        <f t="shared" si="4"/>
        <v>2373</v>
      </c>
      <c r="M24" s="97">
        <f t="shared" si="5"/>
        <v>0</v>
      </c>
      <c r="N24" s="97">
        <f t="shared" si="6"/>
        <v>4077.7046979865772</v>
      </c>
      <c r="O24" s="109">
        <f t="shared" si="7"/>
        <v>1324.6613372093022</v>
      </c>
      <c r="P24" s="98">
        <f t="shared" si="8"/>
        <v>7775.3660351958797</v>
      </c>
      <c r="Q24" s="99">
        <v>7682</v>
      </c>
      <c r="R24" s="100">
        <f t="shared" si="1"/>
        <v>872.3660351958797</v>
      </c>
      <c r="S24" s="112">
        <f t="shared" si="2"/>
        <v>12.637491455829055</v>
      </c>
      <c r="T24" s="644">
        <v>6903</v>
      </c>
      <c r="U24" s="671"/>
      <c r="V24" s="86"/>
      <c r="W24" s="87"/>
    </row>
    <row r="25" spans="1:23" ht="13">
      <c r="A25" s="88">
        <v>1</v>
      </c>
      <c r="B25" s="89">
        <v>19</v>
      </c>
      <c r="C25" s="790" t="s">
        <v>43</v>
      </c>
      <c r="D25" s="790"/>
      <c r="E25" s="105">
        <v>0</v>
      </c>
      <c r="F25" s="104">
        <v>75</v>
      </c>
      <c r="G25" s="91">
        <v>2</v>
      </c>
      <c r="H25" s="92">
        <v>7506</v>
      </c>
      <c r="I25" s="102">
        <v>5669</v>
      </c>
      <c r="J25" s="94">
        <f t="shared" si="3"/>
        <v>1837</v>
      </c>
      <c r="K25" s="91">
        <v>2</v>
      </c>
      <c r="L25" s="96">
        <f t="shared" si="4"/>
        <v>2373</v>
      </c>
      <c r="M25" s="97">
        <f t="shared" si="5"/>
        <v>0</v>
      </c>
      <c r="N25" s="97">
        <f t="shared" si="6"/>
        <v>2038.8523489932886</v>
      </c>
      <c r="O25" s="109">
        <f t="shared" si="7"/>
        <v>883.10755813953483</v>
      </c>
      <c r="P25" s="98">
        <f t="shared" si="8"/>
        <v>5294.959907132823</v>
      </c>
      <c r="Q25" s="99">
        <v>5232</v>
      </c>
      <c r="R25" s="100">
        <f t="shared" si="1"/>
        <v>176.95990713282299</v>
      </c>
      <c r="S25" s="112">
        <f t="shared" si="2"/>
        <v>3.4575988107233875</v>
      </c>
      <c r="T25" s="644">
        <v>5118</v>
      </c>
      <c r="U25" s="671"/>
      <c r="V25" s="86"/>
      <c r="W25" s="87"/>
    </row>
    <row r="26" spans="1:23" ht="13">
      <c r="A26" s="88">
        <v>1</v>
      </c>
      <c r="B26" s="89">
        <v>20</v>
      </c>
      <c r="C26" s="790" t="s">
        <v>44</v>
      </c>
      <c r="D26" s="790"/>
      <c r="E26" s="104">
        <v>8</v>
      </c>
      <c r="F26" s="104">
        <v>340</v>
      </c>
      <c r="G26" s="91">
        <v>5</v>
      </c>
      <c r="H26" s="92">
        <v>24597</v>
      </c>
      <c r="I26" s="102">
        <v>12665</v>
      </c>
      <c r="J26" s="106">
        <f t="shared" si="3"/>
        <v>11932</v>
      </c>
      <c r="K26" s="111">
        <v>5</v>
      </c>
      <c r="L26" s="96">
        <f t="shared" si="4"/>
        <v>2373</v>
      </c>
      <c r="M26" s="97">
        <f t="shared" si="5"/>
        <v>3266.5483870967741</v>
      </c>
      <c r="N26" s="97">
        <f t="shared" si="6"/>
        <v>5097.1308724832215</v>
      </c>
      <c r="O26" s="109">
        <f t="shared" si="7"/>
        <v>2207.7688953488373</v>
      </c>
      <c r="P26" s="98">
        <f t="shared" si="8"/>
        <v>12944.448154928834</v>
      </c>
      <c r="Q26" s="178">
        <v>12788</v>
      </c>
      <c r="R26" s="667">
        <f t="shared" si="1"/>
        <v>-47.551845071166099</v>
      </c>
      <c r="S26" s="669">
        <f t="shared" si="2"/>
        <v>-0.36600865972264546</v>
      </c>
      <c r="T26" s="644">
        <v>12992</v>
      </c>
      <c r="U26" s="671"/>
      <c r="V26" s="86">
        <f>+R26</f>
        <v>-47.551845071166099</v>
      </c>
      <c r="W26" s="87"/>
    </row>
    <row r="27" spans="1:23" ht="13">
      <c r="A27" s="88">
        <v>1</v>
      </c>
      <c r="B27" s="89">
        <v>21</v>
      </c>
      <c r="C27" s="790" t="s">
        <v>45</v>
      </c>
      <c r="D27" s="790"/>
      <c r="E27" s="105">
        <v>0</v>
      </c>
      <c r="F27" s="90">
        <v>192</v>
      </c>
      <c r="G27" s="91">
        <v>4</v>
      </c>
      <c r="H27" s="92">
        <v>11019</v>
      </c>
      <c r="I27" s="102">
        <v>7597</v>
      </c>
      <c r="J27" s="94">
        <f t="shared" si="3"/>
        <v>3422</v>
      </c>
      <c r="K27" s="111">
        <v>3</v>
      </c>
      <c r="L27" s="96">
        <f t="shared" si="4"/>
        <v>2373</v>
      </c>
      <c r="M27" s="97">
        <f t="shared" si="5"/>
        <v>0</v>
      </c>
      <c r="N27" s="97">
        <f t="shared" si="6"/>
        <v>4077.7046979865772</v>
      </c>
      <c r="O27" s="109">
        <f t="shared" si="7"/>
        <v>1324.6613372093022</v>
      </c>
      <c r="P27" s="98">
        <f t="shared" si="8"/>
        <v>7775.3660351958797</v>
      </c>
      <c r="Q27" s="178">
        <v>7682</v>
      </c>
      <c r="R27" s="667">
        <f t="shared" si="1"/>
        <v>-114.6339648041203</v>
      </c>
      <c r="S27" s="669">
        <f t="shared" si="2"/>
        <v>-1.4529019620294081</v>
      </c>
      <c r="T27" s="644">
        <v>7890</v>
      </c>
      <c r="U27" s="671"/>
      <c r="V27" s="86">
        <f>+R27</f>
        <v>-114.6339648041203</v>
      </c>
      <c r="W27" s="87"/>
    </row>
    <row r="28" spans="1:23" ht="13">
      <c r="A28" s="88">
        <v>1</v>
      </c>
      <c r="B28" s="89">
        <v>22</v>
      </c>
      <c r="C28" s="790" t="s">
        <v>46</v>
      </c>
      <c r="D28" s="790"/>
      <c r="E28" s="105">
        <v>0</v>
      </c>
      <c r="F28" s="90">
        <v>241</v>
      </c>
      <c r="G28" s="91">
        <v>4</v>
      </c>
      <c r="H28" s="92">
        <v>7893</v>
      </c>
      <c r="I28" s="102">
        <v>7345</v>
      </c>
      <c r="J28" s="106">
        <f t="shared" si="3"/>
        <v>548</v>
      </c>
      <c r="K28" s="91">
        <v>1</v>
      </c>
      <c r="L28" s="113">
        <f t="shared" si="4"/>
        <v>2373</v>
      </c>
      <c r="M28" s="109">
        <f t="shared" si="5"/>
        <v>0</v>
      </c>
      <c r="N28" s="109">
        <f t="shared" si="6"/>
        <v>4077.7046979865772</v>
      </c>
      <c r="O28" s="109">
        <f t="shared" si="7"/>
        <v>441.55377906976742</v>
      </c>
      <c r="P28" s="98">
        <f t="shared" si="8"/>
        <v>6892.2584770563444</v>
      </c>
      <c r="Q28" s="99">
        <v>6810</v>
      </c>
      <c r="R28" s="100">
        <f t="shared" si="1"/>
        <v>199.25847705634442</v>
      </c>
      <c r="S28" s="112">
        <f t="shared" si="2"/>
        <v>2.9771175415560203</v>
      </c>
      <c r="T28" s="644">
        <v>6693</v>
      </c>
      <c r="U28" s="671"/>
      <c r="V28" s="86"/>
      <c r="W28" s="87"/>
    </row>
    <row r="29" spans="1:23" ht="13">
      <c r="A29" s="88">
        <v>1</v>
      </c>
      <c r="B29" s="89">
        <v>23</v>
      </c>
      <c r="C29" s="790" t="s">
        <v>47</v>
      </c>
      <c r="D29" s="790"/>
      <c r="E29" s="105">
        <v>0</v>
      </c>
      <c r="F29" s="104">
        <v>67</v>
      </c>
      <c r="G29" s="91">
        <v>2</v>
      </c>
      <c r="H29" s="92">
        <v>69508</v>
      </c>
      <c r="I29" s="102">
        <v>7495</v>
      </c>
      <c r="J29" s="94">
        <f t="shared" si="3"/>
        <v>62013</v>
      </c>
      <c r="K29" s="111">
        <v>7</v>
      </c>
      <c r="L29" s="96">
        <f t="shared" si="4"/>
        <v>2373</v>
      </c>
      <c r="M29" s="97">
        <f t="shared" si="5"/>
        <v>0</v>
      </c>
      <c r="N29" s="97">
        <f t="shared" si="6"/>
        <v>2038.8523489932886</v>
      </c>
      <c r="O29" s="109">
        <f t="shared" si="7"/>
        <v>3090.8764534883721</v>
      </c>
      <c r="P29" s="98">
        <f t="shared" si="8"/>
        <v>7502.7288024816608</v>
      </c>
      <c r="Q29" s="178">
        <v>7413</v>
      </c>
      <c r="R29" s="667">
        <f t="shared" si="1"/>
        <v>-9.2711975183392497</v>
      </c>
      <c r="S29" s="669">
        <f t="shared" si="2"/>
        <v>-0.12341849731548522</v>
      </c>
      <c r="T29" s="644">
        <v>7512</v>
      </c>
      <c r="U29" s="671"/>
      <c r="V29" s="86">
        <f>+R29</f>
        <v>-9.2711975183392497</v>
      </c>
      <c r="W29" s="87"/>
    </row>
    <row r="30" spans="1:23" ht="13">
      <c r="A30" s="88">
        <v>1</v>
      </c>
      <c r="B30" s="89">
        <v>24</v>
      </c>
      <c r="C30" s="790" t="s">
        <v>48</v>
      </c>
      <c r="D30" s="790"/>
      <c r="E30" s="105">
        <v>0</v>
      </c>
      <c r="F30" s="104">
        <v>63</v>
      </c>
      <c r="G30" s="91">
        <v>2</v>
      </c>
      <c r="H30" s="92">
        <v>25267</v>
      </c>
      <c r="I30" s="102">
        <v>7397</v>
      </c>
      <c r="J30" s="110">
        <f t="shared" si="3"/>
        <v>17870</v>
      </c>
      <c r="K30" s="91">
        <v>6</v>
      </c>
      <c r="L30" s="96">
        <f t="shared" si="4"/>
        <v>2373</v>
      </c>
      <c r="M30" s="97">
        <f t="shared" si="5"/>
        <v>0</v>
      </c>
      <c r="N30" s="97">
        <f t="shared" si="6"/>
        <v>2038.8523489932886</v>
      </c>
      <c r="O30" s="109">
        <f t="shared" si="7"/>
        <v>2649.3226744186045</v>
      </c>
      <c r="P30" s="98">
        <f t="shared" si="8"/>
        <v>7061.1750234118936</v>
      </c>
      <c r="Q30" s="99">
        <v>6976</v>
      </c>
      <c r="R30" s="100">
        <f t="shared" si="1"/>
        <v>347.17502341189356</v>
      </c>
      <c r="S30" s="112">
        <f t="shared" si="2"/>
        <v>5.1709118768527489</v>
      </c>
      <c r="T30" s="644">
        <v>6714</v>
      </c>
      <c r="U30" s="670"/>
      <c r="V30" s="86"/>
      <c r="W30" s="87"/>
    </row>
    <row r="31" spans="1:23" ht="13">
      <c r="A31" s="88">
        <v>1</v>
      </c>
      <c r="B31" s="89">
        <v>25</v>
      </c>
      <c r="C31" s="790" t="s">
        <v>49</v>
      </c>
      <c r="D31" s="790"/>
      <c r="E31" s="105">
        <v>0</v>
      </c>
      <c r="F31" s="104">
        <v>179</v>
      </c>
      <c r="G31" s="91">
        <v>4</v>
      </c>
      <c r="H31" s="92">
        <v>17029</v>
      </c>
      <c r="I31" s="102">
        <v>7597</v>
      </c>
      <c r="J31" s="94">
        <f t="shared" si="3"/>
        <v>9432</v>
      </c>
      <c r="K31" s="95">
        <v>5</v>
      </c>
      <c r="L31" s="96">
        <f t="shared" si="4"/>
        <v>2373</v>
      </c>
      <c r="M31" s="97">
        <f t="shared" si="5"/>
        <v>0</v>
      </c>
      <c r="N31" s="97">
        <f t="shared" si="6"/>
        <v>4077.7046979865772</v>
      </c>
      <c r="O31" s="109">
        <f t="shared" si="7"/>
        <v>2207.7688953488373</v>
      </c>
      <c r="P31" s="98">
        <f t="shared" si="8"/>
        <v>8658.473593335415</v>
      </c>
      <c r="Q31" s="99">
        <v>8554</v>
      </c>
      <c r="R31" s="100">
        <f t="shared" si="1"/>
        <v>1167.473593335415</v>
      </c>
      <c r="S31" s="112">
        <f t="shared" si="2"/>
        <v>15.585016597722801</v>
      </c>
      <c r="T31" s="644">
        <v>7491</v>
      </c>
      <c r="U31" s="670"/>
      <c r="V31" s="86"/>
      <c r="W31" s="87"/>
    </row>
    <row r="32" spans="1:23" ht="13">
      <c r="A32" s="88">
        <v>1</v>
      </c>
      <c r="B32" s="89">
        <v>26</v>
      </c>
      <c r="C32" s="790" t="s">
        <v>50</v>
      </c>
      <c r="D32" s="790"/>
      <c r="E32" s="104">
        <v>3</v>
      </c>
      <c r="F32" s="108">
        <v>342</v>
      </c>
      <c r="G32" s="91">
        <v>5</v>
      </c>
      <c r="H32" s="92">
        <v>21711</v>
      </c>
      <c r="I32" s="102">
        <v>11504</v>
      </c>
      <c r="J32" s="110">
        <f t="shared" si="3"/>
        <v>10207</v>
      </c>
      <c r="K32" s="111">
        <v>5</v>
      </c>
      <c r="L32" s="96">
        <f t="shared" si="4"/>
        <v>2373</v>
      </c>
      <c r="M32" s="97">
        <f t="shared" si="5"/>
        <v>1224.9556451612902</v>
      </c>
      <c r="N32" s="97">
        <f t="shared" si="6"/>
        <v>5097.1308724832215</v>
      </c>
      <c r="O32" s="109">
        <f t="shared" si="7"/>
        <v>2207.7688953488373</v>
      </c>
      <c r="P32" s="98">
        <f t="shared" si="8"/>
        <v>10902.855412993349</v>
      </c>
      <c r="Q32" s="178">
        <v>10772</v>
      </c>
      <c r="R32" s="667">
        <f t="shared" si="1"/>
        <v>-16.144587006650909</v>
      </c>
      <c r="S32" s="669">
        <f t="shared" si="2"/>
        <v>-0.14785774344400504</v>
      </c>
      <c r="T32" s="644">
        <v>10919</v>
      </c>
      <c r="U32" s="671"/>
      <c r="V32" s="86">
        <f>+R32</f>
        <v>-16.144587006650909</v>
      </c>
      <c r="W32" s="87"/>
    </row>
    <row r="33" spans="1:23" ht="13">
      <c r="A33" s="88">
        <v>1</v>
      </c>
      <c r="B33" s="89">
        <v>27</v>
      </c>
      <c r="C33" s="790" t="s">
        <v>51</v>
      </c>
      <c r="D33" s="790"/>
      <c r="E33" s="105">
        <v>0</v>
      </c>
      <c r="F33" s="104">
        <v>139</v>
      </c>
      <c r="G33" s="91">
        <v>3</v>
      </c>
      <c r="H33" s="92">
        <v>17737</v>
      </c>
      <c r="I33" s="102">
        <v>6633</v>
      </c>
      <c r="J33" s="94">
        <f t="shared" si="3"/>
        <v>11104</v>
      </c>
      <c r="K33" s="91">
        <v>5</v>
      </c>
      <c r="L33" s="96">
        <f t="shared" si="4"/>
        <v>2373</v>
      </c>
      <c r="M33" s="97">
        <f t="shared" si="5"/>
        <v>0</v>
      </c>
      <c r="N33" s="97">
        <f t="shared" si="6"/>
        <v>3058.2785234899329</v>
      </c>
      <c r="O33" s="97">
        <f t="shared" si="7"/>
        <v>2207.7688953488373</v>
      </c>
      <c r="P33" s="98">
        <f t="shared" si="8"/>
        <v>7639.0474188387707</v>
      </c>
      <c r="Q33" s="99">
        <v>7547</v>
      </c>
      <c r="R33" s="100">
        <f t="shared" si="1"/>
        <v>337.04741883877068</v>
      </c>
      <c r="S33" s="112">
        <f t="shared" si="2"/>
        <v>4.6158233201694143</v>
      </c>
      <c r="T33" s="644">
        <v>7302</v>
      </c>
      <c r="U33" s="671"/>
      <c r="V33" s="86"/>
      <c r="W33" s="87"/>
    </row>
    <row r="34" spans="1:23" ht="13">
      <c r="A34" s="88">
        <v>1</v>
      </c>
      <c r="B34" s="638">
        <v>28</v>
      </c>
      <c r="C34" s="790" t="s">
        <v>52</v>
      </c>
      <c r="D34" s="790"/>
      <c r="E34" s="105">
        <v>0</v>
      </c>
      <c r="F34" s="104">
        <v>269</v>
      </c>
      <c r="G34" s="111">
        <v>5</v>
      </c>
      <c r="H34" s="656">
        <v>26670</v>
      </c>
      <c r="I34" s="102">
        <v>10289</v>
      </c>
      <c r="J34" s="106">
        <f t="shared" si="3"/>
        <v>16381</v>
      </c>
      <c r="K34" s="111">
        <v>5</v>
      </c>
      <c r="L34" s="96">
        <f t="shared" si="4"/>
        <v>2373</v>
      </c>
      <c r="M34" s="97">
        <f t="shared" si="5"/>
        <v>0</v>
      </c>
      <c r="N34" s="97">
        <f t="shared" si="6"/>
        <v>5097.1308724832215</v>
      </c>
      <c r="O34" s="97">
        <f t="shared" si="7"/>
        <v>2207.7688953488373</v>
      </c>
      <c r="P34" s="98">
        <f t="shared" si="8"/>
        <v>9677.8997678320593</v>
      </c>
      <c r="Q34" s="178">
        <v>9561</v>
      </c>
      <c r="R34" s="667">
        <f t="shared" si="1"/>
        <v>-611.1002321679407</v>
      </c>
      <c r="S34" s="669">
        <f t="shared" si="2"/>
        <v>-5.9393549632417209</v>
      </c>
      <c r="T34" s="644">
        <v>10289</v>
      </c>
      <c r="U34" s="671"/>
      <c r="V34" s="86">
        <f>+R34</f>
        <v>-611.1002321679407</v>
      </c>
      <c r="W34" s="87"/>
    </row>
    <row r="35" spans="1:23" ht="13">
      <c r="A35" s="88">
        <v>1</v>
      </c>
      <c r="B35" s="89">
        <v>29</v>
      </c>
      <c r="C35" s="790" t="s">
        <v>53</v>
      </c>
      <c r="D35" s="790"/>
      <c r="E35" s="105">
        <v>0</v>
      </c>
      <c r="F35" s="115">
        <v>35</v>
      </c>
      <c r="G35" s="91">
        <v>1</v>
      </c>
      <c r="H35" s="116">
        <v>4353</v>
      </c>
      <c r="I35" s="102">
        <v>3750</v>
      </c>
      <c r="J35" s="106">
        <f t="shared" si="3"/>
        <v>603</v>
      </c>
      <c r="K35" s="91">
        <v>1</v>
      </c>
      <c r="L35" s="96">
        <f t="shared" si="4"/>
        <v>2373</v>
      </c>
      <c r="M35" s="97">
        <f t="shared" si="5"/>
        <v>0</v>
      </c>
      <c r="N35" s="97">
        <f t="shared" si="6"/>
        <v>1019.4261744966443</v>
      </c>
      <c r="O35" s="97">
        <f t="shared" si="7"/>
        <v>441.55377906976742</v>
      </c>
      <c r="P35" s="98">
        <f>SUM(L35:O35)</f>
        <v>3833.9799535664115</v>
      </c>
      <c r="Q35" s="99">
        <v>3789</v>
      </c>
      <c r="R35" s="100">
        <f t="shared" si="1"/>
        <v>83.979953566411496</v>
      </c>
      <c r="S35" s="112">
        <f t="shared" si="2"/>
        <v>2.2394654284376396</v>
      </c>
      <c r="T35" s="644">
        <v>3750</v>
      </c>
      <c r="U35" s="671"/>
      <c r="V35" s="86"/>
      <c r="W35" s="87"/>
    </row>
    <row r="36" spans="1:23" ht="13">
      <c r="A36" s="88">
        <v>1</v>
      </c>
      <c r="B36" s="89">
        <v>30</v>
      </c>
      <c r="C36" s="790" t="s">
        <v>134</v>
      </c>
      <c r="D36" s="790"/>
      <c r="E36" s="105">
        <v>0</v>
      </c>
      <c r="F36" s="639">
        <v>45</v>
      </c>
      <c r="G36" s="91">
        <v>1</v>
      </c>
      <c r="H36" s="116">
        <v>9523</v>
      </c>
      <c r="I36" s="117">
        <v>0</v>
      </c>
      <c r="J36" s="94">
        <f t="shared" si="3"/>
        <v>9523</v>
      </c>
      <c r="K36" s="95">
        <v>5</v>
      </c>
      <c r="L36" s="96">
        <f t="shared" si="4"/>
        <v>2373</v>
      </c>
      <c r="M36" s="97">
        <f t="shared" si="5"/>
        <v>0</v>
      </c>
      <c r="N36" s="97">
        <f t="shared" si="6"/>
        <v>1019.4261744966443</v>
      </c>
      <c r="O36" s="97">
        <f t="shared" si="7"/>
        <v>2207.7688953488373</v>
      </c>
      <c r="P36" s="98">
        <f>SUM(L36:O36)</f>
        <v>5600.1950698454821</v>
      </c>
      <c r="Q36" s="99">
        <v>5533</v>
      </c>
      <c r="R36" s="100">
        <f t="shared" si="1"/>
        <v>671.19506984548207</v>
      </c>
      <c r="S36" s="112">
        <f t="shared" si="2"/>
        <v>13.617266582379429</v>
      </c>
      <c r="T36" s="644">
        <v>4929</v>
      </c>
      <c r="U36" s="671"/>
      <c r="V36" s="86"/>
    </row>
    <row r="37" spans="1:23" ht="13">
      <c r="A37" s="461">
        <v>1</v>
      </c>
      <c r="B37" s="462">
        <v>31</v>
      </c>
      <c r="C37" s="463" t="s">
        <v>147</v>
      </c>
      <c r="D37" s="463"/>
      <c r="E37" s="464">
        <v>0</v>
      </c>
      <c r="F37" s="465">
        <v>68</v>
      </c>
      <c r="G37" s="466">
        <v>2</v>
      </c>
      <c r="H37" s="467">
        <v>174006</v>
      </c>
      <c r="I37" s="117">
        <v>0</v>
      </c>
      <c r="J37" s="106">
        <f t="shared" si="3"/>
        <v>174006</v>
      </c>
      <c r="K37" s="658">
        <v>9</v>
      </c>
      <c r="L37" s="96">
        <f t="shared" si="4"/>
        <v>2373</v>
      </c>
      <c r="M37" s="97">
        <f t="shared" si="5"/>
        <v>0</v>
      </c>
      <c r="N37" s="97">
        <f t="shared" si="6"/>
        <v>2038.8523489932886</v>
      </c>
      <c r="O37" s="97">
        <f t="shared" si="7"/>
        <v>3973.984011627907</v>
      </c>
      <c r="P37" s="98">
        <f>SUM(L37:O37)</f>
        <v>8385.8363606211951</v>
      </c>
      <c r="Q37" s="672">
        <v>8285</v>
      </c>
      <c r="R37" s="667">
        <f t="shared" si="1"/>
        <v>75.836360621195126</v>
      </c>
      <c r="S37" s="669">
        <f t="shared" si="2"/>
        <v>0.91259158388923134</v>
      </c>
      <c r="T37" s="644">
        <v>8310</v>
      </c>
      <c r="U37" s="671"/>
      <c r="V37" s="86">
        <f>+R37</f>
        <v>75.836360621195126</v>
      </c>
    </row>
    <row r="38" spans="1:23" ht="13.5" thickBot="1">
      <c r="A38" s="118">
        <v>1</v>
      </c>
      <c r="B38" s="119">
        <v>32</v>
      </c>
      <c r="C38" s="798" t="s">
        <v>135</v>
      </c>
      <c r="D38" s="798"/>
      <c r="E38" s="640">
        <v>3</v>
      </c>
      <c r="F38" s="121">
        <v>96</v>
      </c>
      <c r="G38" s="662">
        <v>2</v>
      </c>
      <c r="H38" s="123">
        <v>4986</v>
      </c>
      <c r="I38" s="132">
        <v>0</v>
      </c>
      <c r="J38" s="651">
        <f t="shared" si="3"/>
        <v>4986</v>
      </c>
      <c r="K38" s="659">
        <v>4</v>
      </c>
      <c r="L38" s="126">
        <f t="shared" si="4"/>
        <v>2373</v>
      </c>
      <c r="M38" s="127">
        <f t="shared" si="5"/>
        <v>1224.9556451612902</v>
      </c>
      <c r="N38" s="127">
        <f t="shared" si="6"/>
        <v>2038.8523489932886</v>
      </c>
      <c r="O38" s="127">
        <f t="shared" si="7"/>
        <v>1766.2151162790697</v>
      </c>
      <c r="P38" s="128">
        <f t="shared" si="8"/>
        <v>7403.0231104336481</v>
      </c>
      <c r="Q38" s="673">
        <v>7314</v>
      </c>
      <c r="R38" s="674">
        <f t="shared" si="1"/>
        <v>39.023110433648071</v>
      </c>
      <c r="S38" s="669">
        <f t="shared" si="2"/>
        <v>0.52991730626898526</v>
      </c>
      <c r="T38" s="644">
        <v>7364</v>
      </c>
      <c r="U38" s="671"/>
      <c r="V38" s="86">
        <f>+R38</f>
        <v>39.023110433648071</v>
      </c>
    </row>
    <row r="39" spans="1:23" ht="12" thickBot="1">
      <c r="A39" s="133"/>
      <c r="B39" s="134"/>
      <c r="C39" s="135"/>
      <c r="E39" s="136"/>
      <c r="F39" s="137"/>
      <c r="G39" s="136"/>
      <c r="K39" s="136"/>
      <c r="L39" s="136"/>
      <c r="M39" s="136"/>
      <c r="N39" s="136"/>
      <c r="O39" s="799" t="s">
        <v>54</v>
      </c>
      <c r="P39" s="799"/>
      <c r="Q39" s="799"/>
      <c r="R39" s="420">
        <f>SUM(V6:V40)</f>
        <v>-4794.8339215676369</v>
      </c>
      <c r="S39" s="379"/>
      <c r="T39" s="23"/>
    </row>
    <row r="40" spans="1:23" ht="12" thickBot="1">
      <c r="A40" s="133"/>
      <c r="B40" s="134"/>
      <c r="C40" s="135"/>
      <c r="E40" s="136"/>
      <c r="F40" s="137"/>
      <c r="G40" s="136"/>
      <c r="K40" s="136"/>
      <c r="L40" s="136"/>
      <c r="M40" s="136"/>
      <c r="N40" s="136"/>
      <c r="O40" s="800" t="s">
        <v>55</v>
      </c>
      <c r="P40" s="801"/>
      <c r="Q40" s="801"/>
      <c r="R40" s="802"/>
      <c r="S40" s="421">
        <f>SUM(U7:U38)</f>
        <v>0</v>
      </c>
    </row>
    <row r="41" spans="1:23" ht="5.5" customHeight="1"/>
    <row r="42" spans="1:23">
      <c r="B42" s="142" t="s">
        <v>56</v>
      </c>
      <c r="C42" s="803" t="s">
        <v>57</v>
      </c>
      <c r="D42" s="803"/>
      <c r="E42" s="804">
        <v>950000</v>
      </c>
      <c r="F42" s="804"/>
      <c r="G42" s="141" t="s">
        <v>58</v>
      </c>
      <c r="H42" s="143" t="s">
        <v>59</v>
      </c>
      <c r="I42" s="144"/>
      <c r="J42" s="144"/>
      <c r="K42" s="145" t="s">
        <v>60</v>
      </c>
      <c r="L42" s="145"/>
      <c r="M42" s="142"/>
      <c r="N42" s="142"/>
      <c r="P42" s="146" t="s">
        <v>58</v>
      </c>
      <c r="Q42" s="146"/>
      <c r="R42" s="147"/>
      <c r="S42" s="145"/>
      <c r="T42" s="23"/>
      <c r="U42" s="22"/>
    </row>
    <row r="43" spans="1:23" ht="4.9000000000000004" customHeight="1">
      <c r="A43" s="784"/>
      <c r="B43" s="784"/>
      <c r="C43" s="784"/>
      <c r="D43" s="784"/>
      <c r="E43" s="779"/>
      <c r="F43" s="779"/>
    </row>
    <row r="44" spans="1:23">
      <c r="A44" s="805">
        <f>+E44/$E$42*100</f>
        <v>3.6842105263157889</v>
      </c>
      <c r="B44" s="805"/>
      <c r="C44" s="806" t="s">
        <v>61</v>
      </c>
      <c r="D44" s="806"/>
      <c r="E44" s="807">
        <v>35000</v>
      </c>
      <c r="F44" s="807"/>
      <c r="H44" s="148">
        <v>0.2</v>
      </c>
      <c r="J44" s="149">
        <v>2373</v>
      </c>
      <c r="K44" s="26" t="s">
        <v>62</v>
      </c>
      <c r="L44" s="26"/>
      <c r="M44" s="26"/>
      <c r="N44" s="150"/>
      <c r="P44" s="87">
        <f>+J44*A6</f>
        <v>75936</v>
      </c>
      <c r="R44" s="151">
        <f>+S44/A6</f>
        <v>2373.28125</v>
      </c>
      <c r="S44" s="808">
        <f>+E48*0.2</f>
        <v>75945</v>
      </c>
      <c r="T44" s="808"/>
      <c r="U44" s="86"/>
    </row>
    <row r="45" spans="1:23">
      <c r="B45" s="809" t="s">
        <v>63</v>
      </c>
      <c r="C45" s="809"/>
      <c r="D45" s="809"/>
      <c r="E45" s="807">
        <f>+E42-E44-E43</f>
        <v>915000</v>
      </c>
      <c r="F45" s="807"/>
      <c r="H45" s="148">
        <v>0.2</v>
      </c>
      <c r="J45" s="152">
        <v>0.25</v>
      </c>
      <c r="K45" s="26" t="s">
        <v>64</v>
      </c>
      <c r="L45" s="26"/>
      <c r="M45" s="26"/>
      <c r="N45" s="150"/>
      <c r="P45" s="87">
        <f>+($E$48-$P$44)*J45</f>
        <v>75947.25</v>
      </c>
      <c r="R45" s="140"/>
      <c r="S45" s="15"/>
      <c r="T45" s="23"/>
      <c r="U45" s="22"/>
    </row>
    <row r="46" spans="1:23">
      <c r="A46" s="805">
        <v>2</v>
      </c>
      <c r="B46" s="805"/>
      <c r="C46" s="809" t="s">
        <v>65</v>
      </c>
      <c r="D46" s="809"/>
      <c r="E46" s="807">
        <f>+A46*E45/100</f>
        <v>18300</v>
      </c>
      <c r="F46" s="807"/>
      <c r="H46" s="148">
        <v>0.4</v>
      </c>
      <c r="J46" s="152">
        <v>0.5</v>
      </c>
      <c r="K46" s="26" t="s">
        <v>66</v>
      </c>
      <c r="L46" s="26"/>
      <c r="M46" s="26"/>
      <c r="N46" s="150"/>
      <c r="P46" s="87">
        <f>+($E$48-$P$44)*J46</f>
        <v>151894.5</v>
      </c>
      <c r="R46" s="140"/>
      <c r="S46" s="15"/>
      <c r="T46" s="23"/>
      <c r="U46" s="22"/>
    </row>
    <row r="47" spans="1:23">
      <c r="A47" s="805">
        <v>15</v>
      </c>
      <c r="B47" s="805"/>
      <c r="C47" s="784" t="s">
        <v>67</v>
      </c>
      <c r="D47" s="784"/>
      <c r="E47" s="807">
        <f>+A47*E45/100</f>
        <v>137250</v>
      </c>
      <c r="F47" s="807"/>
      <c r="H47" s="148">
        <v>0.2</v>
      </c>
      <c r="J47" s="152">
        <v>0.25</v>
      </c>
      <c r="K47" s="23" t="s">
        <v>68</v>
      </c>
      <c r="L47" s="153"/>
      <c r="M47" s="153"/>
      <c r="N47" s="154"/>
      <c r="P47" s="154">
        <f>+($E$48-$P$44)*J47</f>
        <v>75947.25</v>
      </c>
      <c r="R47" s="140"/>
      <c r="S47" s="15"/>
      <c r="T47" s="23"/>
      <c r="U47" s="22"/>
    </row>
    <row r="48" spans="1:23" ht="12" thickBot="1">
      <c r="A48" s="810">
        <f>(100-A$46-A$47)/2</f>
        <v>41.5</v>
      </c>
      <c r="B48" s="810"/>
      <c r="C48" s="784" t="s">
        <v>69</v>
      </c>
      <c r="D48" s="784"/>
      <c r="E48" s="807">
        <f>+A48*$E$45/100</f>
        <v>379725</v>
      </c>
      <c r="F48" s="807"/>
      <c r="H48" s="23"/>
      <c r="L48" s="155" t="s">
        <v>70</v>
      </c>
      <c r="M48" s="156"/>
      <c r="P48" s="157">
        <f>SUM(P44:P47)</f>
        <v>379725</v>
      </c>
      <c r="Q48" s="157"/>
      <c r="R48" s="158"/>
      <c r="S48" s="23"/>
      <c r="T48" s="23"/>
      <c r="U48" s="22"/>
    </row>
    <row r="49" spans="1:22" ht="12" thickBot="1">
      <c r="A49" s="810">
        <f>(100-A$46-A$47)/2</f>
        <v>41.5</v>
      </c>
      <c r="B49" s="810"/>
      <c r="C49" s="784" t="s">
        <v>71</v>
      </c>
      <c r="D49" s="784"/>
      <c r="E49" s="807">
        <f>+A49*$E$45/100</f>
        <v>379725</v>
      </c>
      <c r="F49" s="807"/>
      <c r="H49" s="159">
        <f>+E46+S40+'Kojad-2017_950 000 €'!V23</f>
        <v>13951.312464285096</v>
      </c>
      <c r="I49" s="812" t="s">
        <v>72</v>
      </c>
      <c r="J49" s="812"/>
      <c r="K49" s="812"/>
      <c r="L49" s="812"/>
      <c r="M49" s="812"/>
      <c r="R49" s="140"/>
      <c r="S49" s="23"/>
      <c r="T49" s="23"/>
      <c r="U49" s="22"/>
    </row>
    <row r="50" spans="1:22">
      <c r="A50" s="813">
        <f>SUM(A44:B49)</f>
        <v>103.68421052631578</v>
      </c>
      <c r="B50" s="813"/>
      <c r="D50" s="160" t="s">
        <v>70</v>
      </c>
      <c r="E50" s="814">
        <f>SUM(E46:E49)+E44+E43</f>
        <v>950000</v>
      </c>
      <c r="F50" s="814"/>
      <c r="G50" s="161"/>
      <c r="H50" s="162">
        <f>+E50-E47-Q6-'Kojad-2017_950 000 €'!T5-E44-H49</f>
        <v>9151.6875357149038</v>
      </c>
      <c r="I50" s="160" t="s">
        <v>73</v>
      </c>
      <c r="J50" s="10"/>
      <c r="K50" s="10"/>
      <c r="L50" s="10"/>
      <c r="M50" s="10"/>
      <c r="N50" s="10"/>
      <c r="O50" s="10"/>
      <c r="P50" s="10"/>
      <c r="Q50" s="10"/>
      <c r="R50" s="163"/>
      <c r="S50" s="10"/>
      <c r="T50" s="10"/>
      <c r="U50" s="86"/>
    </row>
    <row r="51" spans="1:22">
      <c r="C51" s="149" t="s">
        <v>74</v>
      </c>
      <c r="D51" s="87"/>
      <c r="E51" s="87"/>
      <c r="F51" s="164"/>
      <c r="G51" s="87"/>
      <c r="H51" s="23"/>
      <c r="I51" s="23"/>
      <c r="J51" s="23"/>
      <c r="K51" s="87"/>
      <c r="M51" s="87"/>
      <c r="N51" s="87"/>
      <c r="R51" s="140"/>
      <c r="S51" s="23"/>
      <c r="T51" s="23"/>
      <c r="U51" s="22"/>
    </row>
    <row r="52" spans="1:22" ht="13.15" customHeight="1" thickBot="1">
      <c r="A52" s="815" t="s">
        <v>137</v>
      </c>
      <c r="B52" s="815"/>
      <c r="C52" s="87" t="s">
        <v>75</v>
      </c>
      <c r="D52" s="87"/>
      <c r="E52" s="816" t="s">
        <v>76</v>
      </c>
      <c r="F52" s="816"/>
      <c r="G52" s="816"/>
      <c r="H52" s="817"/>
      <c r="I52" s="23"/>
      <c r="J52" s="165" t="s">
        <v>77</v>
      </c>
      <c r="K52" s="166" t="s">
        <v>78</v>
      </c>
      <c r="M52" s="87"/>
      <c r="O52" s="87"/>
      <c r="P52" s="167" t="s">
        <v>79</v>
      </c>
      <c r="Q52" s="168"/>
      <c r="R52" s="169"/>
      <c r="S52" s="170"/>
      <c r="T52" s="23"/>
      <c r="U52" s="171"/>
      <c r="V52" s="23"/>
    </row>
    <row r="53" spans="1:22" s="379" customFormat="1" ht="10.5">
      <c r="A53" s="376"/>
      <c r="B53" s="377">
        <v>35</v>
      </c>
      <c r="C53" s="378">
        <f>LOG10(B53)</f>
        <v>1.5440680443502757</v>
      </c>
      <c r="F53" s="380"/>
      <c r="G53" s="381" t="s">
        <v>80</v>
      </c>
      <c r="H53" s="381" t="s">
        <v>81</v>
      </c>
      <c r="J53" s="382">
        <v>548</v>
      </c>
      <c r="K53" s="378">
        <f t="shared" ref="K53:K84" si="9">LOG10(J53)</f>
        <v>2.7387805584843692</v>
      </c>
      <c r="O53" s="383"/>
      <c r="P53" s="381"/>
      <c r="Q53" s="381"/>
      <c r="R53" s="384" t="s">
        <v>80</v>
      </c>
      <c r="S53" s="381" t="s">
        <v>81</v>
      </c>
      <c r="U53" s="385"/>
    </row>
    <row r="54" spans="1:22" s="379" customFormat="1" ht="10.5">
      <c r="A54" s="376"/>
      <c r="B54" s="386">
        <v>45</v>
      </c>
      <c r="C54" s="378">
        <f t="shared" ref="C54:C84" si="10">LOG10(B54)</f>
        <v>1.6532125137753437</v>
      </c>
      <c r="E54" s="378">
        <f>+C53</f>
        <v>1.5440680443502757</v>
      </c>
      <c r="F54" s="387"/>
      <c r="G54" s="388">
        <f t="shared" ref="G54:G60" si="11">POWER(10,E54)</f>
        <v>35.000000000000007</v>
      </c>
      <c r="H54" s="383">
        <v>1</v>
      </c>
      <c r="J54" s="389">
        <v>603</v>
      </c>
      <c r="K54" s="378">
        <f t="shared" si="9"/>
        <v>2.7803173121401512</v>
      </c>
      <c r="O54" s="378">
        <f>+K53</f>
        <v>2.7387805584843692</v>
      </c>
      <c r="P54" s="390"/>
      <c r="Q54" s="390"/>
      <c r="R54" s="391">
        <f t="shared" ref="R54:R63" si="12">POWER(10,O54)</f>
        <v>548.00000000000023</v>
      </c>
      <c r="S54" s="383">
        <v>1</v>
      </c>
      <c r="U54" s="392"/>
    </row>
    <row r="55" spans="1:22" s="379" customFormat="1" ht="10.5">
      <c r="B55" s="393">
        <v>63</v>
      </c>
      <c r="C55" s="378">
        <f t="shared" si="10"/>
        <v>1.7993405494535817</v>
      </c>
      <c r="E55" s="378">
        <f t="shared" ref="E55:E64" si="13">+E54+$C$85</f>
        <v>1.7711592082913237</v>
      </c>
      <c r="F55" s="394"/>
      <c r="G55" s="388">
        <f t="shared" si="11"/>
        <v>59.041748202556342</v>
      </c>
      <c r="H55" s="383">
        <v>2</v>
      </c>
      <c r="J55" s="393">
        <v>1837</v>
      </c>
      <c r="K55" s="378">
        <f t="shared" si="9"/>
        <v>3.2641091563058082</v>
      </c>
      <c r="O55" s="378">
        <f t="shared" ref="O55:O64" si="14">+O54+$J$85</f>
        <v>3.0361626750946149</v>
      </c>
      <c r="P55" s="383"/>
      <c r="Q55" s="383"/>
      <c r="R55" s="391">
        <f t="shared" si="12"/>
        <v>1086.8326458165195</v>
      </c>
      <c r="S55" s="383">
        <v>2</v>
      </c>
      <c r="U55" s="392"/>
    </row>
    <row r="56" spans="1:22" s="379" customFormat="1" ht="10.5">
      <c r="B56" s="393">
        <v>67</v>
      </c>
      <c r="C56" s="378">
        <f t="shared" si="10"/>
        <v>1.8260748027008264</v>
      </c>
      <c r="E56" s="378">
        <f t="shared" si="13"/>
        <v>1.9982503722323717</v>
      </c>
      <c r="F56" s="394"/>
      <c r="G56" s="388">
        <f t="shared" si="11"/>
        <v>99.597943737544611</v>
      </c>
      <c r="H56" s="383">
        <v>3</v>
      </c>
      <c r="J56" s="393">
        <v>2376</v>
      </c>
      <c r="K56" s="378">
        <f t="shared" si="9"/>
        <v>3.375846436309156</v>
      </c>
      <c r="O56" s="378">
        <f t="shared" si="14"/>
        <v>3.3335447917048606</v>
      </c>
      <c r="P56" s="383"/>
      <c r="Q56" s="383"/>
      <c r="R56" s="391">
        <f t="shared" si="12"/>
        <v>2155.4839416287127</v>
      </c>
      <c r="S56" s="383">
        <v>3</v>
      </c>
      <c r="U56" s="392"/>
    </row>
    <row r="57" spans="1:22" s="379" customFormat="1" ht="10.5">
      <c r="B57" s="393">
        <v>68</v>
      </c>
      <c r="C57" s="378">
        <f t="shared" si="10"/>
        <v>1.8325089127062364</v>
      </c>
      <c r="E57" s="378">
        <f t="shared" si="13"/>
        <v>2.2253415361734197</v>
      </c>
      <c r="F57" s="387"/>
      <c r="G57" s="388">
        <f t="shared" si="11"/>
        <v>168.01247758984229</v>
      </c>
      <c r="H57" s="383">
        <v>4</v>
      </c>
      <c r="J57" s="393">
        <v>2515</v>
      </c>
      <c r="K57" s="378">
        <f t="shared" si="9"/>
        <v>3.4005379893919461</v>
      </c>
      <c r="O57" s="378">
        <f t="shared" si="14"/>
        <v>3.6309269083151063</v>
      </c>
      <c r="P57" s="383"/>
      <c r="Q57" s="383"/>
      <c r="R57" s="391">
        <f t="shared" si="12"/>
        <v>4274.9093344805678</v>
      </c>
      <c r="S57" s="383">
        <v>4</v>
      </c>
      <c r="U57" s="392"/>
    </row>
    <row r="58" spans="1:22" s="379" customFormat="1" ht="10.5">
      <c r="B58" s="393">
        <v>75</v>
      </c>
      <c r="C58" s="378">
        <f t="shared" si="10"/>
        <v>1.8750612633917001</v>
      </c>
      <c r="E58" s="378">
        <f t="shared" si="13"/>
        <v>2.4524327001144677</v>
      </c>
      <c r="F58" s="395"/>
      <c r="G58" s="388">
        <f t="shared" si="11"/>
        <v>283.42143990706018</v>
      </c>
      <c r="H58" s="383">
        <v>5</v>
      </c>
      <c r="J58" s="393">
        <v>3108</v>
      </c>
      <c r="K58" s="378">
        <f t="shared" si="9"/>
        <v>3.4924810101288766</v>
      </c>
      <c r="O58" s="378">
        <f t="shared" si="14"/>
        <v>3.9283090249253521</v>
      </c>
      <c r="P58" s="390"/>
      <c r="Q58" s="390"/>
      <c r="R58" s="391">
        <f t="shared" si="12"/>
        <v>8478.3047858015598</v>
      </c>
      <c r="S58" s="383">
        <v>5</v>
      </c>
      <c r="U58" s="392"/>
    </row>
    <row r="59" spans="1:22" s="379" customFormat="1" ht="10.5">
      <c r="B59" s="386">
        <v>90</v>
      </c>
      <c r="C59" s="378">
        <f t="shared" si="10"/>
        <v>1.954242509439325</v>
      </c>
      <c r="E59" s="378">
        <f t="shared" si="13"/>
        <v>2.6795238640555157</v>
      </c>
      <c r="F59" s="394"/>
      <c r="G59" s="388">
        <f t="shared" si="11"/>
        <v>478.10563686281665</v>
      </c>
      <c r="H59" s="383">
        <v>6</v>
      </c>
      <c r="J59" s="393">
        <v>3275</v>
      </c>
      <c r="K59" s="378">
        <f t="shared" si="9"/>
        <v>3.5152113043278019</v>
      </c>
      <c r="O59" s="378">
        <f t="shared" si="14"/>
        <v>4.2256911415355978</v>
      </c>
      <c r="P59" s="383"/>
      <c r="Q59" s="383"/>
      <c r="R59" s="391">
        <f t="shared" si="12"/>
        <v>16814.778143050287</v>
      </c>
      <c r="S59" s="383">
        <v>6</v>
      </c>
      <c r="U59" s="392"/>
    </row>
    <row r="60" spans="1:22" s="379" customFormat="1" ht="10.5">
      <c r="B60" s="393">
        <v>96</v>
      </c>
      <c r="C60" s="378">
        <f t="shared" si="10"/>
        <v>1.9822712330395684</v>
      </c>
      <c r="E60" s="378">
        <f t="shared" si="13"/>
        <v>2.9066150279965637</v>
      </c>
      <c r="F60" s="394"/>
      <c r="G60" s="388">
        <f t="shared" si="11"/>
        <v>806.51978931077872</v>
      </c>
      <c r="H60" s="383">
        <v>7</v>
      </c>
      <c r="J60" s="393">
        <v>3422</v>
      </c>
      <c r="K60" s="378">
        <f t="shared" si="9"/>
        <v>3.5342800052050816</v>
      </c>
      <c r="O60" s="378">
        <f t="shared" si="14"/>
        <v>4.5230732581458435</v>
      </c>
      <c r="P60" s="383"/>
      <c r="Q60" s="383"/>
      <c r="R60" s="391">
        <f t="shared" si="12"/>
        <v>33348.266091293983</v>
      </c>
      <c r="S60" s="383">
        <v>7</v>
      </c>
      <c r="U60" s="392"/>
    </row>
    <row r="61" spans="1:22" s="379" customFormat="1" ht="10.5">
      <c r="B61" s="393">
        <v>139</v>
      </c>
      <c r="C61" s="378">
        <f t="shared" si="10"/>
        <v>2.143014800254095</v>
      </c>
      <c r="E61" s="378">
        <f t="shared" si="13"/>
        <v>3.1337061919376117</v>
      </c>
      <c r="F61" s="811">
        <f>POWER(10,E61)</f>
        <v>1360.5239520247364</v>
      </c>
      <c r="G61" s="811"/>
      <c r="H61" s="383">
        <v>8</v>
      </c>
      <c r="J61" s="393">
        <v>4986</v>
      </c>
      <c r="K61" s="378">
        <f t="shared" si="9"/>
        <v>3.6977522741677546</v>
      </c>
      <c r="O61" s="378">
        <f t="shared" si="14"/>
        <v>4.8204553747560892</v>
      </c>
      <c r="P61" s="383"/>
      <c r="Q61" s="383"/>
      <c r="R61" s="391">
        <f t="shared" si="12"/>
        <v>66138.657425902027</v>
      </c>
      <c r="S61" s="383">
        <v>8</v>
      </c>
      <c r="U61" s="392"/>
    </row>
    <row r="62" spans="1:22" s="379" customFormat="1" ht="10.5">
      <c r="B62" s="393">
        <v>159</v>
      </c>
      <c r="C62" s="378">
        <f t="shared" si="10"/>
        <v>2.2013971243204513</v>
      </c>
      <c r="E62" s="378">
        <f t="shared" si="13"/>
        <v>3.3607973558786597</v>
      </c>
      <c r="F62" s="811">
        <f>POWER(10,E62)</f>
        <v>2295.077502828321</v>
      </c>
      <c r="G62" s="811"/>
      <c r="H62" s="383">
        <v>9</v>
      </c>
      <c r="J62" s="393">
        <v>9432</v>
      </c>
      <c r="K62" s="378">
        <f t="shared" si="9"/>
        <v>3.9746037920870325</v>
      </c>
      <c r="O62" s="378">
        <f t="shared" si="14"/>
        <v>5.1178374913663349</v>
      </c>
      <c r="P62" s="383"/>
      <c r="Q62" s="383"/>
      <c r="R62" s="391">
        <f t="shared" si="12"/>
        <v>131170.89788493689</v>
      </c>
      <c r="S62" s="383">
        <v>9</v>
      </c>
      <c r="U62" s="392"/>
    </row>
    <row r="63" spans="1:22" s="379" customFormat="1" ht="10.5">
      <c r="B63" s="393">
        <v>170</v>
      </c>
      <c r="C63" s="378">
        <f t="shared" si="10"/>
        <v>2.2304489213782741</v>
      </c>
      <c r="E63" s="378">
        <f t="shared" si="13"/>
        <v>3.5878885198197077</v>
      </c>
      <c r="F63" s="811">
        <f>POWER(10,E63)</f>
        <v>3871.5825150669002</v>
      </c>
      <c r="G63" s="811"/>
      <c r="H63" s="383">
        <v>10</v>
      </c>
      <c r="J63" s="393">
        <v>9523</v>
      </c>
      <c r="K63" s="378">
        <f t="shared" si="9"/>
        <v>3.9787737843301225</v>
      </c>
      <c r="O63" s="378">
        <f t="shared" si="14"/>
        <v>5.4152196079765806</v>
      </c>
      <c r="P63" s="383"/>
      <c r="Q63" s="383"/>
      <c r="R63" s="391">
        <f t="shared" si="12"/>
        <v>260147.47080732576</v>
      </c>
      <c r="S63" s="383">
        <v>10</v>
      </c>
      <c r="U63" s="392"/>
    </row>
    <row r="64" spans="1:22" s="379" customFormat="1" ht="10.5">
      <c r="B64" s="393">
        <v>179</v>
      </c>
      <c r="C64" s="378">
        <f t="shared" si="10"/>
        <v>2.2528530309798933</v>
      </c>
      <c r="E64" s="378">
        <f t="shared" si="13"/>
        <v>3.8149796837607557</v>
      </c>
      <c r="F64" s="811">
        <f>POWER(10,E64)</f>
        <v>6530.99999999999</v>
      </c>
      <c r="G64" s="811"/>
      <c r="H64" s="383">
        <v>10</v>
      </c>
      <c r="J64" s="393">
        <v>10207</v>
      </c>
      <c r="K64" s="378">
        <f t="shared" si="9"/>
        <v>4.0088981147709397</v>
      </c>
      <c r="M64" s="378"/>
      <c r="O64" s="378">
        <f t="shared" si="14"/>
        <v>5.7126017245868264</v>
      </c>
      <c r="R64" s="396">
        <f>POWER(10,O64)</f>
        <v>515943.00000000233</v>
      </c>
      <c r="S64" s="383">
        <v>10</v>
      </c>
      <c r="U64" s="392"/>
    </row>
    <row r="65" spans="1:22" s="379" customFormat="1" ht="10.5">
      <c r="B65" s="393">
        <v>192</v>
      </c>
      <c r="C65" s="378">
        <f t="shared" si="10"/>
        <v>2.2833012287035497</v>
      </c>
      <c r="D65" s="378"/>
      <c r="F65" s="397"/>
      <c r="G65" s="383"/>
      <c r="H65" s="383"/>
      <c r="I65" s="383"/>
      <c r="J65" s="393">
        <v>10461</v>
      </c>
      <c r="K65" s="378">
        <f t="shared" si="9"/>
        <v>4.0195732020956392</v>
      </c>
      <c r="M65" s="378"/>
      <c r="O65" s="383"/>
      <c r="P65" s="383"/>
      <c r="Q65" s="383"/>
      <c r="R65" s="398"/>
      <c r="S65" s="399"/>
      <c r="U65" s="400"/>
    </row>
    <row r="66" spans="1:22" s="379" customFormat="1" ht="10.5">
      <c r="B66" s="393">
        <v>241</v>
      </c>
      <c r="C66" s="378">
        <f t="shared" si="10"/>
        <v>2.3820170425748683</v>
      </c>
      <c r="D66" s="378"/>
      <c r="F66" s="397"/>
      <c r="G66" s="383"/>
      <c r="H66" s="383"/>
      <c r="I66" s="383"/>
      <c r="J66" s="393">
        <v>11104</v>
      </c>
      <c r="K66" s="378">
        <f t="shared" si="9"/>
        <v>4.0454794531107794</v>
      </c>
      <c r="M66" s="378"/>
      <c r="O66" s="383"/>
      <c r="P66" s="383"/>
      <c r="Q66" s="383"/>
      <c r="R66" s="398"/>
      <c r="S66" s="399"/>
      <c r="U66" s="400"/>
    </row>
    <row r="67" spans="1:22" s="379" customFormat="1" ht="10.5">
      <c r="B67" s="393">
        <v>269</v>
      </c>
      <c r="C67" s="378">
        <f t="shared" si="10"/>
        <v>2.4297522800024081</v>
      </c>
      <c r="D67" s="378"/>
      <c r="F67" s="397"/>
      <c r="G67" s="383"/>
      <c r="H67" s="383"/>
      <c r="I67" s="383"/>
      <c r="J67" s="393">
        <v>11932</v>
      </c>
      <c r="K67" s="378">
        <f t="shared" si="9"/>
        <v>4.0767132446900254</v>
      </c>
      <c r="M67" s="378"/>
      <c r="O67" s="383"/>
      <c r="P67" s="383"/>
      <c r="Q67" s="383"/>
      <c r="R67" s="398"/>
      <c r="S67" s="399"/>
      <c r="U67" s="400"/>
    </row>
    <row r="68" spans="1:22" s="379" customFormat="1" ht="10.5">
      <c r="B68" s="393">
        <v>315</v>
      </c>
      <c r="C68" s="378">
        <f t="shared" si="10"/>
        <v>2.4983105537896004</v>
      </c>
      <c r="D68" s="378"/>
      <c r="F68" s="397"/>
      <c r="G68" s="383"/>
      <c r="H68" s="383"/>
      <c r="I68" s="383"/>
      <c r="J68" s="393">
        <v>13379</v>
      </c>
      <c r="K68" s="378">
        <f t="shared" si="9"/>
        <v>4.1264236537373389</v>
      </c>
      <c r="M68" s="378"/>
      <c r="O68" s="383"/>
      <c r="P68" s="383"/>
      <c r="Q68" s="383"/>
      <c r="R68" s="398"/>
      <c r="S68" s="399"/>
      <c r="U68" s="400"/>
      <c r="V68" s="401"/>
    </row>
    <row r="69" spans="1:22" s="379" customFormat="1" ht="10.5">
      <c r="B69" s="393">
        <v>334</v>
      </c>
      <c r="C69" s="378">
        <f t="shared" si="10"/>
        <v>2.5237464668115646</v>
      </c>
      <c r="D69" s="378"/>
      <c r="F69" s="397"/>
      <c r="G69" s="383"/>
      <c r="H69" s="383"/>
      <c r="I69" s="383"/>
      <c r="J69" s="393">
        <v>15792</v>
      </c>
      <c r="K69" s="378">
        <f t="shared" si="9"/>
        <v>4.1984371353255616</v>
      </c>
      <c r="M69" s="378"/>
      <c r="O69" s="383"/>
      <c r="P69" s="383"/>
      <c r="Q69" s="383"/>
      <c r="R69" s="398"/>
      <c r="S69" s="399"/>
      <c r="U69" s="400"/>
      <c r="V69" s="401"/>
    </row>
    <row r="70" spans="1:22" s="379" customFormat="1" ht="10.5">
      <c r="B70" s="393">
        <v>340</v>
      </c>
      <c r="C70" s="378">
        <f t="shared" si="10"/>
        <v>2.5314789170422549</v>
      </c>
      <c r="D70" s="378"/>
      <c r="F70" s="397"/>
      <c r="G70" s="383"/>
      <c r="H70" s="383"/>
      <c r="I70" s="383"/>
      <c r="J70" s="393">
        <v>16381</v>
      </c>
      <c r="K70" s="378">
        <f t="shared" si="9"/>
        <v>4.2143404103197346</v>
      </c>
      <c r="M70" s="378"/>
      <c r="O70" s="383"/>
      <c r="P70" s="383"/>
      <c r="Q70" s="383"/>
      <c r="R70" s="398"/>
      <c r="S70" s="399"/>
      <c r="U70" s="400"/>
      <c r="V70" s="401"/>
    </row>
    <row r="71" spans="1:22" s="379" customFormat="1" ht="10.5">
      <c r="A71" s="376"/>
      <c r="B71" s="393">
        <v>342</v>
      </c>
      <c r="C71" s="378">
        <f t="shared" si="10"/>
        <v>2.5340261060561349</v>
      </c>
      <c r="D71" s="378"/>
      <c r="F71" s="397"/>
      <c r="G71" s="383"/>
      <c r="H71" s="383"/>
      <c r="I71" s="383"/>
      <c r="J71" s="393">
        <v>17870</v>
      </c>
      <c r="K71" s="378">
        <f t="shared" si="9"/>
        <v>4.2521245525056441</v>
      </c>
      <c r="M71" s="378"/>
      <c r="O71" s="383"/>
      <c r="P71" s="383"/>
      <c r="Q71" s="383"/>
      <c r="R71" s="398"/>
      <c r="S71" s="399"/>
      <c r="U71" s="400"/>
      <c r="V71" s="401"/>
    </row>
    <row r="72" spans="1:22" s="379" customFormat="1" ht="10.5">
      <c r="A72" s="376"/>
      <c r="B72" s="393">
        <v>345</v>
      </c>
      <c r="C72" s="378">
        <f t="shared" si="10"/>
        <v>2.537819095073274</v>
      </c>
      <c r="D72" s="378"/>
      <c r="F72" s="397"/>
      <c r="G72" s="383"/>
      <c r="H72" s="383"/>
      <c r="I72" s="383"/>
      <c r="J72" s="393">
        <v>19775</v>
      </c>
      <c r="K72" s="378">
        <f t="shared" si="9"/>
        <v>4.2961164921697144</v>
      </c>
      <c r="M72" s="378"/>
      <c r="O72" s="383"/>
      <c r="P72" s="383"/>
      <c r="Q72" s="383"/>
      <c r="R72" s="398"/>
      <c r="S72" s="399"/>
      <c r="U72" s="400"/>
      <c r="V72" s="401"/>
    </row>
    <row r="73" spans="1:22" s="379" customFormat="1" ht="10.5">
      <c r="A73" s="376"/>
      <c r="B73" s="393">
        <v>370</v>
      </c>
      <c r="C73" s="378">
        <f t="shared" si="10"/>
        <v>2.568201724066995</v>
      </c>
      <c r="D73" s="378"/>
      <c r="F73" s="397"/>
      <c r="G73" s="383"/>
      <c r="H73" s="383"/>
      <c r="I73" s="383"/>
      <c r="J73" s="386">
        <v>21107</v>
      </c>
      <c r="K73" s="378">
        <f t="shared" si="9"/>
        <v>4.3244265101417323</v>
      </c>
      <c r="M73" s="378"/>
      <c r="O73" s="383"/>
      <c r="P73" s="383"/>
      <c r="Q73" s="383"/>
      <c r="R73" s="398"/>
      <c r="S73" s="399"/>
      <c r="U73" s="400"/>
      <c r="V73" s="401"/>
    </row>
    <row r="74" spans="1:22" s="379" customFormat="1" ht="10.5">
      <c r="A74" s="376"/>
      <c r="B74" s="393">
        <v>382</v>
      </c>
      <c r="C74" s="378">
        <f t="shared" si="10"/>
        <v>2.5820633629117089</v>
      </c>
      <c r="D74" s="378"/>
      <c r="F74" s="397"/>
      <c r="G74" s="383"/>
      <c r="H74" s="383"/>
      <c r="I74" s="383"/>
      <c r="J74" s="393">
        <v>27800</v>
      </c>
      <c r="K74" s="378">
        <f t="shared" si="9"/>
        <v>4.4440447959180762</v>
      </c>
      <c r="M74" s="378"/>
      <c r="O74" s="383"/>
      <c r="P74" s="402"/>
      <c r="Q74" s="402"/>
      <c r="R74" s="403"/>
      <c r="S74" s="399"/>
      <c r="U74" s="400"/>
      <c r="V74" s="401"/>
    </row>
    <row r="75" spans="1:22" s="379" customFormat="1" ht="10.5">
      <c r="A75" s="376"/>
      <c r="B75" s="393">
        <v>516</v>
      </c>
      <c r="C75" s="378">
        <f t="shared" si="10"/>
        <v>2.7126497016272113</v>
      </c>
      <c r="D75" s="378"/>
      <c r="F75" s="397"/>
      <c r="G75" s="383"/>
      <c r="H75" s="383"/>
      <c r="I75" s="383"/>
      <c r="J75" s="393">
        <v>30167</v>
      </c>
      <c r="K75" s="378">
        <f t="shared" si="9"/>
        <v>4.4795321232930823</v>
      </c>
      <c r="M75" s="378"/>
      <c r="O75" s="383"/>
      <c r="P75" s="402"/>
      <c r="Q75" s="402"/>
      <c r="R75" s="403"/>
      <c r="S75" s="399"/>
      <c r="U75" s="400"/>
      <c r="V75" s="401"/>
    </row>
    <row r="76" spans="1:22" s="379" customFormat="1" ht="10.5">
      <c r="A76" s="376"/>
      <c r="B76" s="393">
        <v>595</v>
      </c>
      <c r="C76" s="378">
        <f t="shared" si="10"/>
        <v>2.7745169657285498</v>
      </c>
      <c r="D76" s="378"/>
      <c r="F76" s="397"/>
      <c r="G76" s="383"/>
      <c r="H76" s="383"/>
      <c r="I76" s="383"/>
      <c r="J76" s="393">
        <v>33004</v>
      </c>
      <c r="K76" s="378">
        <f t="shared" si="9"/>
        <v>4.5185665784431182</v>
      </c>
      <c r="M76" s="378"/>
      <c r="O76" s="383"/>
      <c r="P76" s="402"/>
      <c r="Q76" s="402"/>
      <c r="R76" s="403"/>
      <c r="S76" s="399"/>
      <c r="U76" s="400"/>
      <c r="V76" s="401"/>
    </row>
    <row r="77" spans="1:22" s="379" customFormat="1" ht="10.5">
      <c r="A77" s="376"/>
      <c r="B77" s="393">
        <v>696</v>
      </c>
      <c r="C77" s="378">
        <f t="shared" si="10"/>
        <v>2.842609239610562</v>
      </c>
      <c r="D77" s="378"/>
      <c r="F77" s="397"/>
      <c r="G77" s="383"/>
      <c r="H77" s="383"/>
      <c r="I77" s="383"/>
      <c r="J77" s="393">
        <v>39533</v>
      </c>
      <c r="K77" s="378">
        <f t="shared" si="9"/>
        <v>4.596959772450969</v>
      </c>
      <c r="M77" s="378"/>
      <c r="O77" s="383"/>
      <c r="P77" s="402"/>
      <c r="Q77" s="402"/>
      <c r="R77" s="403"/>
      <c r="S77" s="399"/>
      <c r="U77" s="400"/>
      <c r="V77" s="401"/>
    </row>
    <row r="78" spans="1:22" s="379" customFormat="1" ht="14.5" customHeight="1">
      <c r="B78" s="660">
        <v>794</v>
      </c>
      <c r="C78" s="378">
        <f t="shared" si="10"/>
        <v>2.8998205024270964</v>
      </c>
      <c r="D78" s="378"/>
      <c r="F78" s="397"/>
      <c r="G78" s="383"/>
      <c r="H78" s="383"/>
      <c r="I78" s="383"/>
      <c r="J78" s="393">
        <v>56285</v>
      </c>
      <c r="K78" s="378">
        <f t="shared" si="9"/>
        <v>4.750392670425053</v>
      </c>
      <c r="M78" s="378"/>
      <c r="O78" s="383"/>
      <c r="P78" s="402"/>
      <c r="Q78" s="402"/>
      <c r="R78" s="403"/>
      <c r="S78" s="399"/>
      <c r="U78" s="400"/>
      <c r="V78" s="401"/>
    </row>
    <row r="79" spans="1:22" s="379" customFormat="1" ht="14.5" customHeight="1">
      <c r="B79" s="660">
        <v>1172</v>
      </c>
      <c r="C79" s="378">
        <f t="shared" si="10"/>
        <v>3.0689276116820721</v>
      </c>
      <c r="D79" s="378"/>
      <c r="F79" s="397"/>
      <c r="G79" s="383"/>
      <c r="H79" s="383"/>
      <c r="I79" s="383"/>
      <c r="J79" s="393">
        <v>62013</v>
      </c>
      <c r="K79" s="378">
        <f t="shared" si="9"/>
        <v>4.7924827416989979</v>
      </c>
      <c r="M79" s="378"/>
      <c r="O79" s="383"/>
      <c r="P79" s="402"/>
      <c r="Q79" s="402"/>
      <c r="R79" s="403"/>
      <c r="S79" s="399"/>
      <c r="U79" s="400"/>
      <c r="V79" s="401"/>
    </row>
    <row r="80" spans="1:22" s="379" customFormat="1" ht="14.5" customHeight="1">
      <c r="B80" s="660">
        <v>1418</v>
      </c>
      <c r="C80" s="378">
        <f t="shared" si="10"/>
        <v>3.1516762308470478</v>
      </c>
      <c r="D80" s="378"/>
      <c r="F80" s="397"/>
      <c r="G80" s="383"/>
      <c r="H80" s="383"/>
      <c r="I80" s="383"/>
      <c r="J80" s="393">
        <v>73783</v>
      </c>
      <c r="K80" s="378">
        <f t="shared" si="9"/>
        <v>4.8679563095646516</v>
      </c>
      <c r="M80" s="378"/>
      <c r="O80" s="383"/>
      <c r="P80" s="402"/>
      <c r="Q80" s="402"/>
      <c r="R80" s="403"/>
      <c r="S80" s="399"/>
      <c r="U80" s="400"/>
      <c r="V80" s="401"/>
    </row>
    <row r="81" spans="1:22" s="379" customFormat="1" ht="14.5" customHeight="1">
      <c r="B81" s="660">
        <v>1551</v>
      </c>
      <c r="C81" s="404">
        <f t="shared" si="10"/>
        <v>3.190611797813605</v>
      </c>
      <c r="D81" s="378"/>
      <c r="F81" s="397"/>
      <c r="G81" s="383"/>
      <c r="H81" s="383"/>
      <c r="I81" s="383"/>
      <c r="J81" s="386">
        <v>137146</v>
      </c>
      <c r="K81" s="378">
        <f t="shared" si="9"/>
        <v>5.1371831454931502</v>
      </c>
      <c r="M81" s="378"/>
      <c r="O81" s="383"/>
      <c r="P81" s="402"/>
      <c r="Q81" s="402"/>
      <c r="R81" s="403"/>
      <c r="S81" s="399"/>
      <c r="U81" s="400"/>
      <c r="V81" s="401"/>
    </row>
    <row r="82" spans="1:22" s="379" customFormat="1" ht="14.5" customHeight="1">
      <c r="B82" s="660">
        <v>1803</v>
      </c>
      <c r="C82" s="404">
        <f t="shared" si="10"/>
        <v>3.2559957267224018</v>
      </c>
      <c r="F82" s="397"/>
      <c r="G82" s="383"/>
      <c r="H82" s="383"/>
      <c r="I82" s="383"/>
      <c r="J82" s="393">
        <v>174006</v>
      </c>
      <c r="K82" s="378">
        <f t="shared" si="9"/>
        <v>5.240564223696194</v>
      </c>
      <c r="M82" s="383"/>
      <c r="O82" s="383"/>
      <c r="P82" s="402"/>
      <c r="Q82" s="402"/>
      <c r="R82" s="403"/>
      <c r="S82" s="399"/>
      <c r="U82" s="400"/>
      <c r="V82" s="401"/>
    </row>
    <row r="83" spans="1:22" s="376" customFormat="1" ht="15" customHeight="1" thickBot="1">
      <c r="B83" s="660">
        <v>1870</v>
      </c>
      <c r="C83" s="404">
        <f t="shared" si="10"/>
        <v>3.271841606536499</v>
      </c>
      <c r="D83" s="431"/>
      <c r="E83" s="405"/>
      <c r="F83" s="432"/>
      <c r="H83" s="398"/>
      <c r="I83" s="398"/>
      <c r="J83" s="433">
        <v>355208</v>
      </c>
      <c r="K83" s="378">
        <f t="shared" si="9"/>
        <v>5.5504827384036641</v>
      </c>
      <c r="M83" s="431"/>
      <c r="N83" s="405"/>
      <c r="P83" s="398"/>
      <c r="Q83" s="398"/>
      <c r="R83" s="407"/>
      <c r="S83" s="407"/>
      <c r="T83" s="408"/>
      <c r="U83" s="409"/>
      <c r="V83" s="410"/>
    </row>
    <row r="84" spans="1:22" ht="14.5" customHeight="1">
      <c r="B84" s="23">
        <v>6531</v>
      </c>
      <c r="C84" s="404">
        <f t="shared" si="10"/>
        <v>3.8149796837607566</v>
      </c>
      <c r="J84" s="657">
        <v>515943</v>
      </c>
      <c r="K84" s="378">
        <f t="shared" si="9"/>
        <v>5.7126017245868255</v>
      </c>
    </row>
    <row r="85" spans="1:22">
      <c r="C85" s="174">
        <f>+(C84-C53)/10</f>
        <v>0.22709116394104809</v>
      </c>
      <c r="D85" s="175" t="s">
        <v>136</v>
      </c>
      <c r="J85" s="174">
        <f>+(K84-K53)/10</f>
        <v>0.29738211661024561</v>
      </c>
      <c r="L85" s="175" t="s">
        <v>136</v>
      </c>
    </row>
    <row r="87" spans="1:22">
      <c r="A87" s="23"/>
      <c r="F87" s="23"/>
      <c r="H87" s="23"/>
      <c r="I87" s="23"/>
      <c r="J87" s="23"/>
      <c r="P87" s="23"/>
      <c r="Q87" s="23"/>
      <c r="R87" s="23"/>
      <c r="S87" s="23"/>
      <c r="T87" s="23"/>
      <c r="U87" s="22"/>
      <c r="V87" s="23"/>
    </row>
    <row r="88" spans="1:22">
      <c r="A88" s="23"/>
      <c r="F88" s="23"/>
      <c r="H88" s="23"/>
      <c r="I88" s="23"/>
      <c r="J88" s="23"/>
      <c r="P88" s="23"/>
      <c r="Q88" s="23"/>
      <c r="R88" s="23"/>
      <c r="S88" s="23"/>
      <c r="T88" s="23"/>
      <c r="U88" s="22"/>
      <c r="V88" s="23"/>
    </row>
    <row r="89" spans="1:22">
      <c r="A89" s="23"/>
      <c r="F89" s="23"/>
      <c r="H89" s="23"/>
      <c r="I89" s="23"/>
      <c r="J89" s="23"/>
      <c r="P89" s="23"/>
      <c r="Q89" s="23"/>
      <c r="R89" s="23"/>
      <c r="S89" s="23"/>
      <c r="T89" s="23"/>
      <c r="U89" s="22"/>
      <c r="V89" s="23"/>
    </row>
    <row r="90" spans="1:22">
      <c r="A90" s="23"/>
      <c r="F90" s="23"/>
      <c r="H90" s="23"/>
      <c r="I90" s="23"/>
      <c r="J90" s="23"/>
      <c r="P90" s="23"/>
      <c r="Q90" s="23"/>
      <c r="R90" s="23"/>
      <c r="S90" s="23"/>
      <c r="T90" s="23"/>
      <c r="U90" s="22"/>
      <c r="V90" s="23"/>
    </row>
    <row r="91" spans="1:22">
      <c r="A91" s="23"/>
      <c r="F91" s="23"/>
      <c r="H91" s="23"/>
      <c r="I91" s="23"/>
      <c r="J91" s="23"/>
      <c r="P91" s="23"/>
      <c r="Q91" s="23"/>
      <c r="R91" s="23"/>
      <c r="S91" s="23"/>
      <c r="T91" s="23"/>
      <c r="U91" s="22"/>
      <c r="V91" s="23"/>
    </row>
    <row r="92" spans="1:22">
      <c r="A92" s="23"/>
      <c r="F92" s="23"/>
      <c r="H92" s="23"/>
      <c r="I92" s="23"/>
      <c r="J92" s="23"/>
      <c r="P92" s="23"/>
      <c r="Q92" s="23"/>
      <c r="R92" s="23"/>
      <c r="S92" s="23"/>
      <c r="T92" s="23"/>
      <c r="U92" s="22"/>
      <c r="V92" s="23"/>
    </row>
    <row r="93" spans="1:22">
      <c r="A93" s="23"/>
      <c r="F93" s="23"/>
      <c r="H93" s="23"/>
      <c r="I93" s="23"/>
      <c r="J93" s="23"/>
      <c r="P93" s="23"/>
      <c r="Q93" s="23"/>
      <c r="R93" s="23"/>
      <c r="S93" s="23"/>
      <c r="T93" s="23"/>
      <c r="U93" s="22"/>
      <c r="V93" s="23"/>
    </row>
    <row r="94" spans="1:22">
      <c r="A94" s="23"/>
      <c r="F94" s="23"/>
      <c r="H94" s="23"/>
      <c r="I94" s="23"/>
      <c r="J94" s="23"/>
      <c r="P94" s="23"/>
      <c r="Q94" s="23"/>
      <c r="R94" s="23"/>
      <c r="S94" s="23"/>
      <c r="T94" s="23"/>
      <c r="U94" s="22"/>
      <c r="V94" s="23"/>
    </row>
    <row r="95" spans="1:22">
      <c r="A95" s="23"/>
      <c r="F95" s="23"/>
      <c r="H95" s="23"/>
      <c r="I95" s="23"/>
      <c r="J95" s="23"/>
      <c r="P95" s="23"/>
      <c r="Q95" s="23"/>
      <c r="R95" s="23"/>
      <c r="S95" s="23"/>
      <c r="T95" s="23"/>
      <c r="U95" s="22"/>
      <c r="V95" s="23"/>
    </row>
    <row r="96" spans="1:22">
      <c r="A96" s="23"/>
      <c r="F96" s="23"/>
      <c r="H96" s="23"/>
      <c r="I96" s="23"/>
      <c r="J96" s="23"/>
      <c r="P96" s="23"/>
      <c r="Q96" s="23"/>
      <c r="R96" s="23"/>
      <c r="S96" s="23"/>
      <c r="T96" s="23"/>
      <c r="U96" s="22"/>
      <c r="V96" s="23"/>
    </row>
    <row r="97" spans="21:21" s="23" customFormat="1">
      <c r="U97" s="22"/>
    </row>
    <row r="98" spans="21:21" s="23" customFormat="1">
      <c r="U98" s="22"/>
    </row>
    <row r="99" spans="21:21" s="23" customFormat="1">
      <c r="U99" s="22"/>
    </row>
    <row r="100" spans="21:21" s="23" customFormat="1">
      <c r="U100" s="22"/>
    </row>
    <row r="101" spans="21:21" s="23" customFormat="1">
      <c r="U101" s="22"/>
    </row>
    <row r="102" spans="21:21" s="23" customFormat="1">
      <c r="U102" s="22"/>
    </row>
    <row r="103" spans="21:21" s="23" customFormat="1">
      <c r="U103" s="22"/>
    </row>
    <row r="104" spans="21:21" s="23" customFormat="1">
      <c r="U104" s="22"/>
    </row>
    <row r="105" spans="21:21" s="23" customFormat="1">
      <c r="U105" s="22"/>
    </row>
    <row r="106" spans="21:21" s="23" customFormat="1">
      <c r="U106" s="22"/>
    </row>
    <row r="107" spans="21:21" s="23" customFormat="1">
      <c r="U107" s="22"/>
    </row>
    <row r="108" spans="21:21" s="23" customFormat="1">
      <c r="U108" s="22"/>
    </row>
    <row r="109" spans="21:21" s="23" customFormat="1">
      <c r="U109" s="22"/>
    </row>
    <row r="110" spans="21:21" s="23" customFormat="1">
      <c r="U110" s="22"/>
    </row>
    <row r="111" spans="21:21" s="23" customFormat="1">
      <c r="U111" s="22"/>
    </row>
    <row r="112" spans="21:21" s="23" customFormat="1">
      <c r="U112" s="22"/>
    </row>
    <row r="113" spans="21:21" s="23" customFormat="1">
      <c r="U113" s="22"/>
    </row>
    <row r="114" spans="21:21" s="23" customFormat="1">
      <c r="U114" s="22"/>
    </row>
    <row r="115" spans="21:21" s="23" customFormat="1">
      <c r="U115" s="22"/>
    </row>
    <row r="116" spans="21:21" s="23" customFormat="1">
      <c r="U116" s="22"/>
    </row>
    <row r="117" spans="21:21" s="23" customFormat="1">
      <c r="U117" s="22"/>
    </row>
    <row r="118" spans="21:21" s="23" customFormat="1">
      <c r="U118" s="22"/>
    </row>
    <row r="119" spans="21:21" s="23" customFormat="1">
      <c r="U119" s="22"/>
    </row>
    <row r="120" spans="21:21" s="23" customFormat="1">
      <c r="U120" s="22"/>
    </row>
    <row r="121" spans="21:21" s="23" customFormat="1">
      <c r="U121" s="22"/>
    </row>
    <row r="122" spans="21:21" s="23" customFormat="1">
      <c r="U122" s="22"/>
    </row>
    <row r="123" spans="21:21" s="23" customFormat="1">
      <c r="U123" s="22"/>
    </row>
    <row r="124" spans="21:21" s="23" customFormat="1">
      <c r="U124" s="22"/>
    </row>
    <row r="125" spans="21:21" s="23" customFormat="1">
      <c r="U125" s="22"/>
    </row>
    <row r="126" spans="21:21" s="23" customFormat="1">
      <c r="U126" s="22"/>
    </row>
    <row r="127" spans="21:21" s="23" customFormat="1">
      <c r="U127" s="22"/>
    </row>
    <row r="128" spans="21:21" s="23" customFormat="1">
      <c r="U128" s="22"/>
    </row>
    <row r="129" spans="21:21" s="23" customFormat="1">
      <c r="U129" s="22"/>
    </row>
    <row r="130" spans="21:21" s="23" customFormat="1">
      <c r="U130" s="22"/>
    </row>
    <row r="131" spans="21:21" s="23" customFormat="1">
      <c r="U131" s="22"/>
    </row>
    <row r="132" spans="21:21" s="23" customFormat="1">
      <c r="U132" s="22"/>
    </row>
    <row r="133" spans="21:21" s="23" customFormat="1">
      <c r="U133" s="22"/>
    </row>
    <row r="134" spans="21:21" s="23" customFormat="1">
      <c r="U134" s="22"/>
    </row>
    <row r="135" spans="21:21" s="23" customFormat="1">
      <c r="U135" s="22"/>
    </row>
    <row r="136" spans="21:21" s="23" customFormat="1">
      <c r="U136" s="22"/>
    </row>
    <row r="137" spans="21:21" s="23" customFormat="1">
      <c r="U137" s="22"/>
    </row>
    <row r="138" spans="21:21" s="23" customFormat="1">
      <c r="U138" s="22"/>
    </row>
    <row r="139" spans="21:21" s="23" customFormat="1">
      <c r="U139" s="22"/>
    </row>
    <row r="140" spans="21:21" s="23" customFormat="1">
      <c r="U140" s="22"/>
    </row>
    <row r="141" spans="21:21" s="23" customFormat="1">
      <c r="U141" s="22"/>
    </row>
    <row r="142" spans="21:21" s="23" customFormat="1">
      <c r="U142" s="22"/>
    </row>
    <row r="143" spans="21:21" s="23" customFormat="1">
      <c r="U143" s="22"/>
    </row>
    <row r="144" spans="21:21" s="23" customFormat="1">
      <c r="U144" s="22"/>
    </row>
    <row r="145" spans="21:21" s="23" customFormat="1">
      <c r="U145" s="22"/>
    </row>
    <row r="146" spans="21:21" s="23" customFormat="1">
      <c r="U146" s="22"/>
    </row>
    <row r="147" spans="21:21" s="23" customFormat="1">
      <c r="U147" s="22"/>
    </row>
    <row r="148" spans="21:21" s="23" customFormat="1">
      <c r="U148" s="22"/>
    </row>
    <row r="149" spans="21:21" s="23" customFormat="1">
      <c r="U149" s="22"/>
    </row>
    <row r="150" spans="21:21" s="23" customFormat="1">
      <c r="U150" s="22"/>
    </row>
    <row r="151" spans="21:21" s="23" customFormat="1">
      <c r="U151" s="22"/>
    </row>
    <row r="152" spans="21:21" s="23" customFormat="1">
      <c r="U152" s="22"/>
    </row>
    <row r="153" spans="21:21" s="23" customFormat="1">
      <c r="U153" s="22"/>
    </row>
    <row r="154" spans="21:21" s="23" customFormat="1">
      <c r="U154" s="22"/>
    </row>
    <row r="155" spans="21:21" s="23" customFormat="1">
      <c r="U155" s="22"/>
    </row>
    <row r="156" spans="21:21" s="23" customFormat="1">
      <c r="U156" s="22"/>
    </row>
    <row r="157" spans="21:21" s="23" customFormat="1">
      <c r="U157" s="22"/>
    </row>
    <row r="158" spans="21:21" s="23" customFormat="1">
      <c r="U158" s="22"/>
    </row>
    <row r="159" spans="21:21" s="23" customFormat="1">
      <c r="U159" s="22"/>
    </row>
    <row r="160" spans="21:21" s="23" customFormat="1">
      <c r="U160" s="22"/>
    </row>
    <row r="161" spans="21:21" s="23" customFormat="1">
      <c r="U161" s="22"/>
    </row>
    <row r="162" spans="21:21" s="23" customFormat="1">
      <c r="U162" s="22"/>
    </row>
    <row r="163" spans="21:21" s="23" customFormat="1">
      <c r="U163" s="22"/>
    </row>
    <row r="164" spans="21:21" s="23" customFormat="1">
      <c r="U164" s="22"/>
    </row>
    <row r="165" spans="21:21" s="23" customFormat="1">
      <c r="U165" s="22"/>
    </row>
    <row r="166" spans="21:21" s="23" customFormat="1">
      <c r="U166" s="22"/>
    </row>
    <row r="167" spans="21:21" s="23" customFormat="1">
      <c r="U167" s="22"/>
    </row>
    <row r="168" spans="21:21" s="23" customFormat="1">
      <c r="U168" s="22"/>
    </row>
    <row r="169" spans="21:21" s="23" customFormat="1">
      <c r="U169" s="22"/>
    </row>
    <row r="170" spans="21:21" s="23" customFormat="1">
      <c r="U170" s="22"/>
    </row>
    <row r="171" spans="21:21" s="23" customFormat="1">
      <c r="U171" s="22"/>
    </row>
    <row r="172" spans="21:21" s="23" customFormat="1">
      <c r="U172" s="22"/>
    </row>
    <row r="173" spans="21:21" s="23" customFormat="1">
      <c r="U173" s="22"/>
    </row>
    <row r="174" spans="21:21" s="23" customFormat="1">
      <c r="U174" s="22"/>
    </row>
    <row r="175" spans="21:21" s="23" customFormat="1">
      <c r="U175" s="22"/>
    </row>
    <row r="176" spans="21:21" s="23" customFormat="1">
      <c r="U176" s="22"/>
    </row>
    <row r="177" spans="21:21" s="23" customFormat="1">
      <c r="U177" s="22"/>
    </row>
    <row r="178" spans="21:21" s="23" customFormat="1">
      <c r="U178" s="22"/>
    </row>
    <row r="179" spans="21:21" s="23" customFormat="1">
      <c r="U179" s="22"/>
    </row>
    <row r="180" spans="21:21" s="23" customFormat="1">
      <c r="U180" s="22"/>
    </row>
    <row r="181" spans="21:21" s="23" customFormat="1">
      <c r="U181" s="22"/>
    </row>
    <row r="182" spans="21:21" s="23" customFormat="1">
      <c r="U182" s="22"/>
    </row>
    <row r="196" spans="8:22">
      <c r="H196" s="23"/>
      <c r="I196" s="23"/>
      <c r="J196" s="23"/>
      <c r="P196" s="23"/>
      <c r="Q196" s="23"/>
      <c r="R196" s="140"/>
      <c r="S196" s="23"/>
      <c r="T196" s="23"/>
      <c r="U196" s="22"/>
      <c r="V196" s="23"/>
    </row>
    <row r="197" spans="8:22">
      <c r="H197" s="23"/>
      <c r="I197" s="23"/>
      <c r="J197" s="23"/>
      <c r="P197" s="23"/>
      <c r="Q197" s="23"/>
      <c r="R197" s="140"/>
      <c r="S197" s="23"/>
      <c r="T197" s="23"/>
      <c r="U197" s="22"/>
      <c r="V197" s="23"/>
    </row>
    <row r="198" spans="8:22">
      <c r="H198" s="23"/>
      <c r="I198" s="23"/>
      <c r="J198" s="23"/>
      <c r="P198" s="23"/>
      <c r="Q198" s="23"/>
      <c r="R198" s="140"/>
      <c r="S198" s="23"/>
      <c r="T198" s="23"/>
      <c r="U198" s="22"/>
      <c r="V198" s="23"/>
    </row>
    <row r="199" spans="8:22">
      <c r="H199" s="23"/>
      <c r="I199" s="23"/>
      <c r="J199" s="23"/>
      <c r="P199" s="23"/>
      <c r="Q199" s="23"/>
      <c r="R199" s="140"/>
      <c r="S199" s="23"/>
      <c r="T199" s="23"/>
      <c r="U199" s="22"/>
      <c r="V199" s="23"/>
    </row>
  </sheetData>
  <mergeCells count="69">
    <mergeCell ref="F62:G62"/>
    <mergeCell ref="F63:G63"/>
    <mergeCell ref="F64:G64"/>
    <mergeCell ref="I49:M49"/>
    <mergeCell ref="A50:B50"/>
    <mergeCell ref="E50:F50"/>
    <mergeCell ref="A52:B52"/>
    <mergeCell ref="E52:H52"/>
    <mergeCell ref="F61:G61"/>
    <mergeCell ref="A48:B48"/>
    <mergeCell ref="C48:D48"/>
    <mergeCell ref="E48:F48"/>
    <mergeCell ref="A49:B49"/>
    <mergeCell ref="C49:D49"/>
    <mergeCell ref="E49:F49"/>
    <mergeCell ref="A46:B46"/>
    <mergeCell ref="C46:D46"/>
    <mergeCell ref="E46:F46"/>
    <mergeCell ref="A47:B47"/>
    <mergeCell ref="C47:D47"/>
    <mergeCell ref="E47:F47"/>
    <mergeCell ref="A44:B44"/>
    <mergeCell ref="C44:D44"/>
    <mergeCell ref="E44:F44"/>
    <mergeCell ref="S44:T44"/>
    <mergeCell ref="B45:D45"/>
    <mergeCell ref="E45:F45"/>
    <mergeCell ref="O39:Q39"/>
    <mergeCell ref="O40:R40"/>
    <mergeCell ref="C42:D42"/>
    <mergeCell ref="E42:F42"/>
    <mergeCell ref="A43:D43"/>
    <mergeCell ref="E43:F43"/>
    <mergeCell ref="C38:D38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A2:P2"/>
    <mergeCell ref="A3:P3"/>
    <mergeCell ref="R3:T3"/>
    <mergeCell ref="R4:S4"/>
    <mergeCell ref="R5:S5"/>
    <mergeCell ref="C7:D7"/>
    <mergeCell ref="C8:D8"/>
    <mergeCell ref="C9:D9"/>
    <mergeCell ref="C10:D10"/>
    <mergeCell ref="C11:D11"/>
    <mergeCell ref="C12:D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1"/>
  <sheetViews>
    <sheetView workbookViewId="0">
      <selection activeCell="G17" sqref="G17"/>
    </sheetView>
  </sheetViews>
  <sheetFormatPr defaultColWidth="10" defaultRowHeight="14"/>
  <cols>
    <col min="1" max="1" width="5.26953125" style="470" customWidth="1"/>
    <col min="2" max="2" width="34.54296875" style="470" customWidth="1"/>
    <col min="3" max="4" width="11.26953125" style="474" customWidth="1"/>
    <col min="5" max="5" width="11.26953125" style="472" customWidth="1"/>
    <col min="6" max="8" width="11.26953125" style="471" customWidth="1"/>
    <col min="9" max="254" width="10" style="470"/>
    <col min="255" max="255" width="5.26953125" style="470" customWidth="1"/>
    <col min="256" max="256" width="30.26953125" style="470" customWidth="1"/>
    <col min="257" max="258" width="11.26953125" style="470" customWidth="1"/>
    <col min="259" max="259" width="10.7265625" style="470" customWidth="1"/>
    <col min="260" max="260" width="4.54296875" style="470" customWidth="1"/>
    <col min="261" max="261" width="10" style="470" customWidth="1"/>
    <col min="262" max="510" width="10" style="470"/>
    <col min="511" max="511" width="5.26953125" style="470" customWidth="1"/>
    <col min="512" max="512" width="30.26953125" style="470" customWidth="1"/>
    <col min="513" max="514" width="11.26953125" style="470" customWidth="1"/>
    <col min="515" max="515" width="10.7265625" style="470" customWidth="1"/>
    <col min="516" max="516" width="4.54296875" style="470" customWidth="1"/>
    <col min="517" max="517" width="10" style="470" customWidth="1"/>
    <col min="518" max="766" width="10" style="470"/>
    <col min="767" max="767" width="5.26953125" style="470" customWidth="1"/>
    <col min="768" max="768" width="30.26953125" style="470" customWidth="1"/>
    <col min="769" max="770" width="11.26953125" style="470" customWidth="1"/>
    <col min="771" max="771" width="10.7265625" style="470" customWidth="1"/>
    <col min="772" max="772" width="4.54296875" style="470" customWidth="1"/>
    <col min="773" max="773" width="10" style="470" customWidth="1"/>
    <col min="774" max="1022" width="10" style="470"/>
    <col min="1023" max="1023" width="5.26953125" style="470" customWidth="1"/>
    <col min="1024" max="1024" width="30.26953125" style="470" customWidth="1"/>
    <col min="1025" max="1026" width="11.26953125" style="470" customWidth="1"/>
    <col min="1027" max="1027" width="10.7265625" style="470" customWidth="1"/>
    <col min="1028" max="1028" width="4.54296875" style="470" customWidth="1"/>
    <col min="1029" max="1029" width="10" style="470" customWidth="1"/>
    <col min="1030" max="1278" width="10" style="470"/>
    <col min="1279" max="1279" width="5.26953125" style="470" customWidth="1"/>
    <col min="1280" max="1280" width="30.26953125" style="470" customWidth="1"/>
    <col min="1281" max="1282" width="11.26953125" style="470" customWidth="1"/>
    <col min="1283" max="1283" width="10.7265625" style="470" customWidth="1"/>
    <col min="1284" max="1284" width="4.54296875" style="470" customWidth="1"/>
    <col min="1285" max="1285" width="10" style="470" customWidth="1"/>
    <col min="1286" max="1534" width="10" style="470"/>
    <col min="1535" max="1535" width="5.26953125" style="470" customWidth="1"/>
    <col min="1536" max="1536" width="30.26953125" style="470" customWidth="1"/>
    <col min="1537" max="1538" width="11.26953125" style="470" customWidth="1"/>
    <col min="1539" max="1539" width="10.7265625" style="470" customWidth="1"/>
    <col min="1540" max="1540" width="4.54296875" style="470" customWidth="1"/>
    <col min="1541" max="1541" width="10" style="470" customWidth="1"/>
    <col min="1542" max="1790" width="10" style="470"/>
    <col min="1791" max="1791" width="5.26953125" style="470" customWidth="1"/>
    <col min="1792" max="1792" width="30.26953125" style="470" customWidth="1"/>
    <col min="1793" max="1794" width="11.26953125" style="470" customWidth="1"/>
    <col min="1795" max="1795" width="10.7265625" style="470" customWidth="1"/>
    <col min="1796" max="1796" width="4.54296875" style="470" customWidth="1"/>
    <col min="1797" max="1797" width="10" style="470" customWidth="1"/>
    <col min="1798" max="2046" width="10" style="470"/>
    <col min="2047" max="2047" width="5.26953125" style="470" customWidth="1"/>
    <col min="2048" max="2048" width="30.26953125" style="470" customWidth="1"/>
    <col min="2049" max="2050" width="11.26953125" style="470" customWidth="1"/>
    <col min="2051" max="2051" width="10.7265625" style="470" customWidth="1"/>
    <col min="2052" max="2052" width="4.54296875" style="470" customWidth="1"/>
    <col min="2053" max="2053" width="10" style="470" customWidth="1"/>
    <col min="2054" max="2302" width="10" style="470"/>
    <col min="2303" max="2303" width="5.26953125" style="470" customWidth="1"/>
    <col min="2304" max="2304" width="30.26953125" style="470" customWidth="1"/>
    <col min="2305" max="2306" width="11.26953125" style="470" customWidth="1"/>
    <col min="2307" max="2307" width="10.7265625" style="470" customWidth="1"/>
    <col min="2308" max="2308" width="4.54296875" style="470" customWidth="1"/>
    <col min="2309" max="2309" width="10" style="470" customWidth="1"/>
    <col min="2310" max="2558" width="10" style="470"/>
    <col min="2559" max="2559" width="5.26953125" style="470" customWidth="1"/>
    <col min="2560" max="2560" width="30.26953125" style="470" customWidth="1"/>
    <col min="2561" max="2562" width="11.26953125" style="470" customWidth="1"/>
    <col min="2563" max="2563" width="10.7265625" style="470" customWidth="1"/>
    <col min="2564" max="2564" width="4.54296875" style="470" customWidth="1"/>
    <col min="2565" max="2565" width="10" style="470" customWidth="1"/>
    <col min="2566" max="2814" width="10" style="470"/>
    <col min="2815" max="2815" width="5.26953125" style="470" customWidth="1"/>
    <col min="2816" max="2816" width="30.26953125" style="470" customWidth="1"/>
    <col min="2817" max="2818" width="11.26953125" style="470" customWidth="1"/>
    <col min="2819" max="2819" width="10.7265625" style="470" customWidth="1"/>
    <col min="2820" max="2820" width="4.54296875" style="470" customWidth="1"/>
    <col min="2821" max="2821" width="10" style="470" customWidth="1"/>
    <col min="2822" max="3070" width="10" style="470"/>
    <col min="3071" max="3071" width="5.26953125" style="470" customWidth="1"/>
    <col min="3072" max="3072" width="30.26953125" style="470" customWidth="1"/>
    <col min="3073" max="3074" width="11.26953125" style="470" customWidth="1"/>
    <col min="3075" max="3075" width="10.7265625" style="470" customWidth="1"/>
    <col min="3076" max="3076" width="4.54296875" style="470" customWidth="1"/>
    <col min="3077" max="3077" width="10" style="470" customWidth="1"/>
    <col min="3078" max="3326" width="10" style="470"/>
    <col min="3327" max="3327" width="5.26953125" style="470" customWidth="1"/>
    <col min="3328" max="3328" width="30.26953125" style="470" customWidth="1"/>
    <col min="3329" max="3330" width="11.26953125" style="470" customWidth="1"/>
    <col min="3331" max="3331" width="10.7265625" style="470" customWidth="1"/>
    <col min="3332" max="3332" width="4.54296875" style="470" customWidth="1"/>
    <col min="3333" max="3333" width="10" style="470" customWidth="1"/>
    <col min="3334" max="3582" width="10" style="470"/>
    <col min="3583" max="3583" width="5.26953125" style="470" customWidth="1"/>
    <col min="3584" max="3584" width="30.26953125" style="470" customWidth="1"/>
    <col min="3585" max="3586" width="11.26953125" style="470" customWidth="1"/>
    <col min="3587" max="3587" width="10.7265625" style="470" customWidth="1"/>
    <col min="3588" max="3588" width="4.54296875" style="470" customWidth="1"/>
    <col min="3589" max="3589" width="10" style="470" customWidth="1"/>
    <col min="3590" max="3838" width="10" style="470"/>
    <col min="3839" max="3839" width="5.26953125" style="470" customWidth="1"/>
    <col min="3840" max="3840" width="30.26953125" style="470" customWidth="1"/>
    <col min="3841" max="3842" width="11.26953125" style="470" customWidth="1"/>
    <col min="3843" max="3843" width="10.7265625" style="470" customWidth="1"/>
    <col min="3844" max="3844" width="4.54296875" style="470" customWidth="1"/>
    <col min="3845" max="3845" width="10" style="470" customWidth="1"/>
    <col min="3846" max="4094" width="10" style="470"/>
    <col min="4095" max="4095" width="5.26953125" style="470" customWidth="1"/>
    <col min="4096" max="4096" width="30.26953125" style="470" customWidth="1"/>
    <col min="4097" max="4098" width="11.26953125" style="470" customWidth="1"/>
    <col min="4099" max="4099" width="10.7265625" style="470" customWidth="1"/>
    <col min="4100" max="4100" width="4.54296875" style="470" customWidth="1"/>
    <col min="4101" max="4101" width="10" style="470" customWidth="1"/>
    <col min="4102" max="4350" width="10" style="470"/>
    <col min="4351" max="4351" width="5.26953125" style="470" customWidth="1"/>
    <col min="4352" max="4352" width="30.26953125" style="470" customWidth="1"/>
    <col min="4353" max="4354" width="11.26953125" style="470" customWidth="1"/>
    <col min="4355" max="4355" width="10.7265625" style="470" customWidth="1"/>
    <col min="4356" max="4356" width="4.54296875" style="470" customWidth="1"/>
    <col min="4357" max="4357" width="10" style="470" customWidth="1"/>
    <col min="4358" max="4606" width="10" style="470"/>
    <col min="4607" max="4607" width="5.26953125" style="470" customWidth="1"/>
    <col min="4608" max="4608" width="30.26953125" style="470" customWidth="1"/>
    <col min="4609" max="4610" width="11.26953125" style="470" customWidth="1"/>
    <col min="4611" max="4611" width="10.7265625" style="470" customWidth="1"/>
    <col min="4612" max="4612" width="4.54296875" style="470" customWidth="1"/>
    <col min="4613" max="4613" width="10" style="470" customWidth="1"/>
    <col min="4614" max="4862" width="10" style="470"/>
    <col min="4863" max="4863" width="5.26953125" style="470" customWidth="1"/>
    <col min="4864" max="4864" width="30.26953125" style="470" customWidth="1"/>
    <col min="4865" max="4866" width="11.26953125" style="470" customWidth="1"/>
    <col min="4867" max="4867" width="10.7265625" style="470" customWidth="1"/>
    <col min="4868" max="4868" width="4.54296875" style="470" customWidth="1"/>
    <col min="4869" max="4869" width="10" style="470" customWidth="1"/>
    <col min="4870" max="5118" width="10" style="470"/>
    <col min="5119" max="5119" width="5.26953125" style="470" customWidth="1"/>
    <col min="5120" max="5120" width="30.26953125" style="470" customWidth="1"/>
    <col min="5121" max="5122" width="11.26953125" style="470" customWidth="1"/>
    <col min="5123" max="5123" width="10.7265625" style="470" customWidth="1"/>
    <col min="5124" max="5124" width="4.54296875" style="470" customWidth="1"/>
    <col min="5125" max="5125" width="10" style="470" customWidth="1"/>
    <col min="5126" max="5374" width="10" style="470"/>
    <col min="5375" max="5375" width="5.26953125" style="470" customWidth="1"/>
    <col min="5376" max="5376" width="30.26953125" style="470" customWidth="1"/>
    <col min="5377" max="5378" width="11.26953125" style="470" customWidth="1"/>
    <col min="5379" max="5379" width="10.7265625" style="470" customWidth="1"/>
    <col min="5380" max="5380" width="4.54296875" style="470" customWidth="1"/>
    <col min="5381" max="5381" width="10" style="470" customWidth="1"/>
    <col min="5382" max="5630" width="10" style="470"/>
    <col min="5631" max="5631" width="5.26953125" style="470" customWidth="1"/>
    <col min="5632" max="5632" width="30.26953125" style="470" customWidth="1"/>
    <col min="5633" max="5634" width="11.26953125" style="470" customWidth="1"/>
    <col min="5635" max="5635" width="10.7265625" style="470" customWidth="1"/>
    <col min="5636" max="5636" width="4.54296875" style="470" customWidth="1"/>
    <col min="5637" max="5637" width="10" style="470" customWidth="1"/>
    <col min="5638" max="5886" width="10" style="470"/>
    <col min="5887" max="5887" width="5.26953125" style="470" customWidth="1"/>
    <col min="5888" max="5888" width="30.26953125" style="470" customWidth="1"/>
    <col min="5889" max="5890" width="11.26953125" style="470" customWidth="1"/>
    <col min="5891" max="5891" width="10.7265625" style="470" customWidth="1"/>
    <col min="5892" max="5892" width="4.54296875" style="470" customWidth="1"/>
    <col min="5893" max="5893" width="10" style="470" customWidth="1"/>
    <col min="5894" max="6142" width="10" style="470"/>
    <col min="6143" max="6143" width="5.26953125" style="470" customWidth="1"/>
    <col min="6144" max="6144" width="30.26953125" style="470" customWidth="1"/>
    <col min="6145" max="6146" width="11.26953125" style="470" customWidth="1"/>
    <col min="6147" max="6147" width="10.7265625" style="470" customWidth="1"/>
    <col min="6148" max="6148" width="4.54296875" style="470" customWidth="1"/>
    <col min="6149" max="6149" width="10" style="470" customWidth="1"/>
    <col min="6150" max="6398" width="10" style="470"/>
    <col min="6399" max="6399" width="5.26953125" style="470" customWidth="1"/>
    <col min="6400" max="6400" width="30.26953125" style="470" customWidth="1"/>
    <col min="6401" max="6402" width="11.26953125" style="470" customWidth="1"/>
    <col min="6403" max="6403" width="10.7265625" style="470" customWidth="1"/>
    <col min="6404" max="6404" width="4.54296875" style="470" customWidth="1"/>
    <col min="6405" max="6405" width="10" style="470" customWidth="1"/>
    <col min="6406" max="6654" width="10" style="470"/>
    <col min="6655" max="6655" width="5.26953125" style="470" customWidth="1"/>
    <col min="6656" max="6656" width="30.26953125" style="470" customWidth="1"/>
    <col min="6657" max="6658" width="11.26953125" style="470" customWidth="1"/>
    <col min="6659" max="6659" width="10.7265625" style="470" customWidth="1"/>
    <col min="6660" max="6660" width="4.54296875" style="470" customWidth="1"/>
    <col min="6661" max="6661" width="10" style="470" customWidth="1"/>
    <col min="6662" max="6910" width="10" style="470"/>
    <col min="6911" max="6911" width="5.26953125" style="470" customWidth="1"/>
    <col min="6912" max="6912" width="30.26953125" style="470" customWidth="1"/>
    <col min="6913" max="6914" width="11.26953125" style="470" customWidth="1"/>
    <col min="6915" max="6915" width="10.7265625" style="470" customWidth="1"/>
    <col min="6916" max="6916" width="4.54296875" style="470" customWidth="1"/>
    <col min="6917" max="6917" width="10" style="470" customWidth="1"/>
    <col min="6918" max="7166" width="10" style="470"/>
    <col min="7167" max="7167" width="5.26953125" style="470" customWidth="1"/>
    <col min="7168" max="7168" width="30.26953125" style="470" customWidth="1"/>
    <col min="7169" max="7170" width="11.26953125" style="470" customWidth="1"/>
    <col min="7171" max="7171" width="10.7265625" style="470" customWidth="1"/>
    <col min="7172" max="7172" width="4.54296875" style="470" customWidth="1"/>
    <col min="7173" max="7173" width="10" style="470" customWidth="1"/>
    <col min="7174" max="7422" width="10" style="470"/>
    <col min="7423" max="7423" width="5.26953125" style="470" customWidth="1"/>
    <col min="7424" max="7424" width="30.26953125" style="470" customWidth="1"/>
    <col min="7425" max="7426" width="11.26953125" style="470" customWidth="1"/>
    <col min="7427" max="7427" width="10.7265625" style="470" customWidth="1"/>
    <col min="7428" max="7428" width="4.54296875" style="470" customWidth="1"/>
    <col min="7429" max="7429" width="10" style="470" customWidth="1"/>
    <col min="7430" max="7678" width="10" style="470"/>
    <col min="7679" max="7679" width="5.26953125" style="470" customWidth="1"/>
    <col min="7680" max="7680" width="30.26953125" style="470" customWidth="1"/>
    <col min="7681" max="7682" width="11.26953125" style="470" customWidth="1"/>
    <col min="7683" max="7683" width="10.7265625" style="470" customWidth="1"/>
    <col min="7684" max="7684" width="4.54296875" style="470" customWidth="1"/>
    <col min="7685" max="7685" width="10" style="470" customWidth="1"/>
    <col min="7686" max="7934" width="10" style="470"/>
    <col min="7935" max="7935" width="5.26953125" style="470" customWidth="1"/>
    <col min="7936" max="7936" width="30.26953125" style="470" customWidth="1"/>
    <col min="7937" max="7938" width="11.26953125" style="470" customWidth="1"/>
    <col min="7939" max="7939" width="10.7265625" style="470" customWidth="1"/>
    <col min="7940" max="7940" width="4.54296875" style="470" customWidth="1"/>
    <col min="7941" max="7941" width="10" style="470" customWidth="1"/>
    <col min="7942" max="8190" width="10" style="470"/>
    <col min="8191" max="8191" width="5.26953125" style="470" customWidth="1"/>
    <col min="8192" max="8192" width="30.26953125" style="470" customWidth="1"/>
    <col min="8193" max="8194" width="11.26953125" style="470" customWidth="1"/>
    <col min="8195" max="8195" width="10.7265625" style="470" customWidth="1"/>
    <col min="8196" max="8196" width="4.54296875" style="470" customWidth="1"/>
    <col min="8197" max="8197" width="10" style="470" customWidth="1"/>
    <col min="8198" max="8446" width="10" style="470"/>
    <col min="8447" max="8447" width="5.26953125" style="470" customWidth="1"/>
    <col min="8448" max="8448" width="30.26953125" style="470" customWidth="1"/>
    <col min="8449" max="8450" width="11.26953125" style="470" customWidth="1"/>
    <col min="8451" max="8451" width="10.7265625" style="470" customWidth="1"/>
    <col min="8452" max="8452" width="4.54296875" style="470" customWidth="1"/>
    <col min="8453" max="8453" width="10" style="470" customWidth="1"/>
    <col min="8454" max="8702" width="10" style="470"/>
    <col min="8703" max="8703" width="5.26953125" style="470" customWidth="1"/>
    <col min="8704" max="8704" width="30.26953125" style="470" customWidth="1"/>
    <col min="8705" max="8706" width="11.26953125" style="470" customWidth="1"/>
    <col min="8707" max="8707" width="10.7265625" style="470" customWidth="1"/>
    <col min="8708" max="8708" width="4.54296875" style="470" customWidth="1"/>
    <col min="8709" max="8709" width="10" style="470" customWidth="1"/>
    <col min="8710" max="8958" width="10" style="470"/>
    <col min="8959" max="8959" width="5.26953125" style="470" customWidth="1"/>
    <col min="8960" max="8960" width="30.26953125" style="470" customWidth="1"/>
    <col min="8961" max="8962" width="11.26953125" style="470" customWidth="1"/>
    <col min="8963" max="8963" width="10.7265625" style="470" customWidth="1"/>
    <col min="8964" max="8964" width="4.54296875" style="470" customWidth="1"/>
    <col min="8965" max="8965" width="10" style="470" customWidth="1"/>
    <col min="8966" max="9214" width="10" style="470"/>
    <col min="9215" max="9215" width="5.26953125" style="470" customWidth="1"/>
    <col min="9216" max="9216" width="30.26953125" style="470" customWidth="1"/>
    <col min="9217" max="9218" width="11.26953125" style="470" customWidth="1"/>
    <col min="9219" max="9219" width="10.7265625" style="470" customWidth="1"/>
    <col min="9220" max="9220" width="4.54296875" style="470" customWidth="1"/>
    <col min="9221" max="9221" width="10" style="470" customWidth="1"/>
    <col min="9222" max="9470" width="10" style="470"/>
    <col min="9471" max="9471" width="5.26953125" style="470" customWidth="1"/>
    <col min="9472" max="9472" width="30.26953125" style="470" customWidth="1"/>
    <col min="9473" max="9474" width="11.26953125" style="470" customWidth="1"/>
    <col min="9475" max="9475" width="10.7265625" style="470" customWidth="1"/>
    <col min="9476" max="9476" width="4.54296875" style="470" customWidth="1"/>
    <col min="9477" max="9477" width="10" style="470" customWidth="1"/>
    <col min="9478" max="9726" width="10" style="470"/>
    <col min="9727" max="9727" width="5.26953125" style="470" customWidth="1"/>
    <col min="9728" max="9728" width="30.26953125" style="470" customWidth="1"/>
    <col min="9729" max="9730" width="11.26953125" style="470" customWidth="1"/>
    <col min="9731" max="9731" width="10.7265625" style="470" customWidth="1"/>
    <col min="9732" max="9732" width="4.54296875" style="470" customWidth="1"/>
    <col min="9733" max="9733" width="10" style="470" customWidth="1"/>
    <col min="9734" max="9982" width="10" style="470"/>
    <col min="9983" max="9983" width="5.26953125" style="470" customWidth="1"/>
    <col min="9984" max="9984" width="30.26953125" style="470" customWidth="1"/>
    <col min="9985" max="9986" width="11.26953125" style="470" customWidth="1"/>
    <col min="9987" max="9987" width="10.7265625" style="470" customWidth="1"/>
    <col min="9988" max="9988" width="4.54296875" style="470" customWidth="1"/>
    <col min="9989" max="9989" width="10" style="470" customWidth="1"/>
    <col min="9990" max="10238" width="10" style="470"/>
    <col min="10239" max="10239" width="5.26953125" style="470" customWidth="1"/>
    <col min="10240" max="10240" width="30.26953125" style="470" customWidth="1"/>
    <col min="10241" max="10242" width="11.26953125" style="470" customWidth="1"/>
    <col min="10243" max="10243" width="10.7265625" style="470" customWidth="1"/>
    <col min="10244" max="10244" width="4.54296875" style="470" customWidth="1"/>
    <col min="10245" max="10245" width="10" style="470" customWidth="1"/>
    <col min="10246" max="10494" width="10" style="470"/>
    <col min="10495" max="10495" width="5.26953125" style="470" customWidth="1"/>
    <col min="10496" max="10496" width="30.26953125" style="470" customWidth="1"/>
    <col min="10497" max="10498" width="11.26953125" style="470" customWidth="1"/>
    <col min="10499" max="10499" width="10.7265625" style="470" customWidth="1"/>
    <col min="10500" max="10500" width="4.54296875" style="470" customWidth="1"/>
    <col min="10501" max="10501" width="10" style="470" customWidth="1"/>
    <col min="10502" max="10750" width="10" style="470"/>
    <col min="10751" max="10751" width="5.26953125" style="470" customWidth="1"/>
    <col min="10752" max="10752" width="30.26953125" style="470" customWidth="1"/>
    <col min="10753" max="10754" width="11.26953125" style="470" customWidth="1"/>
    <col min="10755" max="10755" width="10.7265625" style="470" customWidth="1"/>
    <col min="10756" max="10756" width="4.54296875" style="470" customWidth="1"/>
    <col min="10757" max="10757" width="10" style="470" customWidth="1"/>
    <col min="10758" max="11006" width="10" style="470"/>
    <col min="11007" max="11007" width="5.26953125" style="470" customWidth="1"/>
    <col min="11008" max="11008" width="30.26953125" style="470" customWidth="1"/>
    <col min="11009" max="11010" width="11.26953125" style="470" customWidth="1"/>
    <col min="11011" max="11011" width="10.7265625" style="470" customWidth="1"/>
    <col min="11012" max="11012" width="4.54296875" style="470" customWidth="1"/>
    <col min="11013" max="11013" width="10" style="470" customWidth="1"/>
    <col min="11014" max="11262" width="10" style="470"/>
    <col min="11263" max="11263" width="5.26953125" style="470" customWidth="1"/>
    <col min="11264" max="11264" width="30.26953125" style="470" customWidth="1"/>
    <col min="11265" max="11266" width="11.26953125" style="470" customWidth="1"/>
    <col min="11267" max="11267" width="10.7265625" style="470" customWidth="1"/>
    <col min="11268" max="11268" width="4.54296875" style="470" customWidth="1"/>
    <col min="11269" max="11269" width="10" style="470" customWidth="1"/>
    <col min="11270" max="11518" width="10" style="470"/>
    <col min="11519" max="11519" width="5.26953125" style="470" customWidth="1"/>
    <col min="11520" max="11520" width="30.26953125" style="470" customWidth="1"/>
    <col min="11521" max="11522" width="11.26953125" style="470" customWidth="1"/>
    <col min="11523" max="11523" width="10.7265625" style="470" customWidth="1"/>
    <col min="11524" max="11524" width="4.54296875" style="470" customWidth="1"/>
    <col min="11525" max="11525" width="10" style="470" customWidth="1"/>
    <col min="11526" max="11774" width="10" style="470"/>
    <col min="11775" max="11775" width="5.26953125" style="470" customWidth="1"/>
    <col min="11776" max="11776" width="30.26953125" style="470" customWidth="1"/>
    <col min="11777" max="11778" width="11.26953125" style="470" customWidth="1"/>
    <col min="11779" max="11779" width="10.7265625" style="470" customWidth="1"/>
    <col min="11780" max="11780" width="4.54296875" style="470" customWidth="1"/>
    <col min="11781" max="11781" width="10" style="470" customWidth="1"/>
    <col min="11782" max="12030" width="10" style="470"/>
    <col min="12031" max="12031" width="5.26953125" style="470" customWidth="1"/>
    <col min="12032" max="12032" width="30.26953125" style="470" customWidth="1"/>
    <col min="12033" max="12034" width="11.26953125" style="470" customWidth="1"/>
    <col min="12035" max="12035" width="10.7265625" style="470" customWidth="1"/>
    <col min="12036" max="12036" width="4.54296875" style="470" customWidth="1"/>
    <col min="12037" max="12037" width="10" style="470" customWidth="1"/>
    <col min="12038" max="12286" width="10" style="470"/>
    <col min="12287" max="12287" width="5.26953125" style="470" customWidth="1"/>
    <col min="12288" max="12288" width="30.26953125" style="470" customWidth="1"/>
    <col min="12289" max="12290" width="11.26953125" style="470" customWidth="1"/>
    <col min="12291" max="12291" width="10.7265625" style="470" customWidth="1"/>
    <col min="12292" max="12292" width="4.54296875" style="470" customWidth="1"/>
    <col min="12293" max="12293" width="10" style="470" customWidth="1"/>
    <col min="12294" max="12542" width="10" style="470"/>
    <col min="12543" max="12543" width="5.26953125" style="470" customWidth="1"/>
    <col min="12544" max="12544" width="30.26953125" style="470" customWidth="1"/>
    <col min="12545" max="12546" width="11.26953125" style="470" customWidth="1"/>
    <col min="12547" max="12547" width="10.7265625" style="470" customWidth="1"/>
    <col min="12548" max="12548" width="4.54296875" style="470" customWidth="1"/>
    <col min="12549" max="12549" width="10" style="470" customWidth="1"/>
    <col min="12550" max="12798" width="10" style="470"/>
    <col min="12799" max="12799" width="5.26953125" style="470" customWidth="1"/>
    <col min="12800" max="12800" width="30.26953125" style="470" customWidth="1"/>
    <col min="12801" max="12802" width="11.26953125" style="470" customWidth="1"/>
    <col min="12803" max="12803" width="10.7265625" style="470" customWidth="1"/>
    <col min="12804" max="12804" width="4.54296875" style="470" customWidth="1"/>
    <col min="12805" max="12805" width="10" style="470" customWidth="1"/>
    <col min="12806" max="13054" width="10" style="470"/>
    <col min="13055" max="13055" width="5.26953125" style="470" customWidth="1"/>
    <col min="13056" max="13056" width="30.26953125" style="470" customWidth="1"/>
    <col min="13057" max="13058" width="11.26953125" style="470" customWidth="1"/>
    <col min="13059" max="13059" width="10.7265625" style="470" customWidth="1"/>
    <col min="13060" max="13060" width="4.54296875" style="470" customWidth="1"/>
    <col min="13061" max="13061" width="10" style="470" customWidth="1"/>
    <col min="13062" max="13310" width="10" style="470"/>
    <col min="13311" max="13311" width="5.26953125" style="470" customWidth="1"/>
    <col min="13312" max="13312" width="30.26953125" style="470" customWidth="1"/>
    <col min="13313" max="13314" width="11.26953125" style="470" customWidth="1"/>
    <col min="13315" max="13315" width="10.7265625" style="470" customWidth="1"/>
    <col min="13316" max="13316" width="4.54296875" style="470" customWidth="1"/>
    <col min="13317" max="13317" width="10" style="470" customWidth="1"/>
    <col min="13318" max="13566" width="10" style="470"/>
    <col min="13567" max="13567" width="5.26953125" style="470" customWidth="1"/>
    <col min="13568" max="13568" width="30.26953125" style="470" customWidth="1"/>
    <col min="13569" max="13570" width="11.26953125" style="470" customWidth="1"/>
    <col min="13571" max="13571" width="10.7265625" style="470" customWidth="1"/>
    <col min="13572" max="13572" width="4.54296875" style="470" customWidth="1"/>
    <col min="13573" max="13573" width="10" style="470" customWidth="1"/>
    <col min="13574" max="13822" width="10" style="470"/>
    <col min="13823" max="13823" width="5.26953125" style="470" customWidth="1"/>
    <col min="13824" max="13824" width="30.26953125" style="470" customWidth="1"/>
    <col min="13825" max="13826" width="11.26953125" style="470" customWidth="1"/>
    <col min="13827" max="13827" width="10.7265625" style="470" customWidth="1"/>
    <col min="13828" max="13828" width="4.54296875" style="470" customWidth="1"/>
    <col min="13829" max="13829" width="10" style="470" customWidth="1"/>
    <col min="13830" max="14078" width="10" style="470"/>
    <col min="14079" max="14079" width="5.26953125" style="470" customWidth="1"/>
    <col min="14080" max="14080" width="30.26953125" style="470" customWidth="1"/>
    <col min="14081" max="14082" width="11.26953125" style="470" customWidth="1"/>
    <col min="14083" max="14083" width="10.7265625" style="470" customWidth="1"/>
    <col min="14084" max="14084" width="4.54296875" style="470" customWidth="1"/>
    <col min="14085" max="14085" width="10" style="470" customWidth="1"/>
    <col min="14086" max="14334" width="10" style="470"/>
    <col min="14335" max="14335" width="5.26953125" style="470" customWidth="1"/>
    <col min="14336" max="14336" width="30.26953125" style="470" customWidth="1"/>
    <col min="14337" max="14338" width="11.26953125" style="470" customWidth="1"/>
    <col min="14339" max="14339" width="10.7265625" style="470" customWidth="1"/>
    <col min="14340" max="14340" width="4.54296875" style="470" customWidth="1"/>
    <col min="14341" max="14341" width="10" style="470" customWidth="1"/>
    <col min="14342" max="14590" width="10" style="470"/>
    <col min="14591" max="14591" width="5.26953125" style="470" customWidth="1"/>
    <col min="14592" max="14592" width="30.26953125" style="470" customWidth="1"/>
    <col min="14593" max="14594" width="11.26953125" style="470" customWidth="1"/>
    <col min="14595" max="14595" width="10.7265625" style="470" customWidth="1"/>
    <col min="14596" max="14596" width="4.54296875" style="470" customWidth="1"/>
    <col min="14597" max="14597" width="10" style="470" customWidth="1"/>
    <col min="14598" max="14846" width="10" style="470"/>
    <col min="14847" max="14847" width="5.26953125" style="470" customWidth="1"/>
    <col min="14848" max="14848" width="30.26953125" style="470" customWidth="1"/>
    <col min="14849" max="14850" width="11.26953125" style="470" customWidth="1"/>
    <col min="14851" max="14851" width="10.7265625" style="470" customWidth="1"/>
    <col min="14852" max="14852" width="4.54296875" style="470" customWidth="1"/>
    <col min="14853" max="14853" width="10" style="470" customWidth="1"/>
    <col min="14854" max="15102" width="10" style="470"/>
    <col min="15103" max="15103" width="5.26953125" style="470" customWidth="1"/>
    <col min="15104" max="15104" width="30.26953125" style="470" customWidth="1"/>
    <col min="15105" max="15106" width="11.26953125" style="470" customWidth="1"/>
    <col min="15107" max="15107" width="10.7265625" style="470" customWidth="1"/>
    <col min="15108" max="15108" width="4.54296875" style="470" customWidth="1"/>
    <col min="15109" max="15109" width="10" style="470" customWidth="1"/>
    <col min="15110" max="15358" width="10" style="470"/>
    <col min="15359" max="15359" width="5.26953125" style="470" customWidth="1"/>
    <col min="15360" max="15360" width="30.26953125" style="470" customWidth="1"/>
    <col min="15361" max="15362" width="11.26953125" style="470" customWidth="1"/>
    <col min="15363" max="15363" width="10.7265625" style="470" customWidth="1"/>
    <col min="15364" max="15364" width="4.54296875" style="470" customWidth="1"/>
    <col min="15365" max="15365" width="10" style="470" customWidth="1"/>
    <col min="15366" max="15614" width="10" style="470"/>
    <col min="15615" max="15615" width="5.26953125" style="470" customWidth="1"/>
    <col min="15616" max="15616" width="30.26953125" style="470" customWidth="1"/>
    <col min="15617" max="15618" width="11.26953125" style="470" customWidth="1"/>
    <col min="15619" max="15619" width="10.7265625" style="470" customWidth="1"/>
    <col min="15620" max="15620" width="4.54296875" style="470" customWidth="1"/>
    <col min="15621" max="15621" width="10" style="470" customWidth="1"/>
    <col min="15622" max="15870" width="10" style="470"/>
    <col min="15871" max="15871" width="5.26953125" style="470" customWidth="1"/>
    <col min="15872" max="15872" width="30.26953125" style="470" customWidth="1"/>
    <col min="15873" max="15874" width="11.26953125" style="470" customWidth="1"/>
    <col min="15875" max="15875" width="10.7265625" style="470" customWidth="1"/>
    <col min="15876" max="15876" width="4.54296875" style="470" customWidth="1"/>
    <col min="15877" max="15877" width="10" style="470" customWidth="1"/>
    <col min="15878" max="16126" width="10" style="470"/>
    <col min="16127" max="16127" width="5.26953125" style="470" customWidth="1"/>
    <col min="16128" max="16128" width="30.26953125" style="470" customWidth="1"/>
    <col min="16129" max="16130" width="11.26953125" style="470" customWidth="1"/>
    <col min="16131" max="16131" width="10.7265625" style="470" customWidth="1"/>
    <col min="16132" max="16132" width="4.54296875" style="470" customWidth="1"/>
    <col min="16133" max="16133" width="10" style="470" customWidth="1"/>
    <col min="16134" max="16384" width="10" style="470"/>
  </cols>
  <sheetData>
    <row r="1" spans="1:8" ht="23.5" customHeight="1">
      <c r="B1" s="818" t="s">
        <v>260</v>
      </c>
      <c r="C1" s="818"/>
      <c r="D1" s="502"/>
      <c r="E1" s="502"/>
      <c r="F1" s="502"/>
      <c r="G1" s="502"/>
      <c r="H1" s="470"/>
    </row>
    <row r="2" spans="1:8" ht="7.15" customHeight="1">
      <c r="C2" s="473"/>
      <c r="D2" s="473"/>
    </row>
    <row r="3" spans="1:8" ht="15.75" customHeight="1">
      <c r="A3" s="471" t="s">
        <v>191</v>
      </c>
    </row>
    <row r="4" spans="1:8" s="479" customFormat="1" ht="28">
      <c r="A4" s="475" t="s">
        <v>150</v>
      </c>
      <c r="B4" s="476" t="s">
        <v>151</v>
      </c>
      <c r="C4" s="478" t="s">
        <v>193</v>
      </c>
      <c r="D4" s="503" t="s">
        <v>192</v>
      </c>
      <c r="E4" s="477" t="s">
        <v>155</v>
      </c>
      <c r="F4" s="477" t="s">
        <v>154</v>
      </c>
      <c r="G4" s="477" t="s">
        <v>153</v>
      </c>
      <c r="H4" s="477" t="s">
        <v>152</v>
      </c>
    </row>
    <row r="5" spans="1:8" s="479" customFormat="1">
      <c r="A5" s="480">
        <v>1</v>
      </c>
      <c r="B5" s="481" t="s">
        <v>156</v>
      </c>
      <c r="C5" s="483">
        <v>137250</v>
      </c>
      <c r="D5" s="504">
        <v>132874</v>
      </c>
      <c r="E5" s="482">
        <v>135000</v>
      </c>
      <c r="F5" s="482">
        <v>135000</v>
      </c>
      <c r="G5" s="482">
        <v>105000.0003</v>
      </c>
      <c r="H5" s="482">
        <v>135000</v>
      </c>
    </row>
    <row r="6" spans="1:8" s="479" customFormat="1">
      <c r="A6" s="480">
        <v>2</v>
      </c>
      <c r="B6" s="481" t="s">
        <v>157</v>
      </c>
      <c r="C6" s="483">
        <v>25184</v>
      </c>
      <c r="D6" s="504">
        <v>25531</v>
      </c>
      <c r="E6" s="482">
        <v>24982</v>
      </c>
      <c r="F6" s="485">
        <v>23738.133025682182</v>
      </c>
      <c r="G6" s="484">
        <v>20293.121199999998</v>
      </c>
      <c r="H6" s="484">
        <v>25694</v>
      </c>
    </row>
    <row r="7" spans="1:8" s="479" customFormat="1">
      <c r="A7" s="480">
        <v>3</v>
      </c>
      <c r="B7" s="481" t="s">
        <v>26</v>
      </c>
      <c r="C7" s="483">
        <v>24115</v>
      </c>
      <c r="D7" s="504">
        <v>23209</v>
      </c>
      <c r="E7" s="482">
        <v>22886</v>
      </c>
      <c r="F7" s="485">
        <v>22886.209470304973</v>
      </c>
      <c r="G7" s="482">
        <v>17732.589599999999</v>
      </c>
      <c r="H7" s="482">
        <f>22416+36</f>
        <v>22452</v>
      </c>
    </row>
    <row r="8" spans="1:8" s="479" customFormat="1">
      <c r="A8" s="480">
        <v>4</v>
      </c>
      <c r="B8" s="481" t="s">
        <v>158</v>
      </c>
      <c r="C8" s="483">
        <v>20068</v>
      </c>
      <c r="D8" s="504">
        <v>19256</v>
      </c>
      <c r="E8" s="482">
        <v>18151</v>
      </c>
      <c r="F8" s="485">
        <v>17838.853531300163</v>
      </c>
      <c r="G8" s="484">
        <v>13710.928</v>
      </c>
      <c r="H8" s="484">
        <f>17333+27</f>
        <v>17360</v>
      </c>
    </row>
    <row r="9" spans="1:8" s="479" customFormat="1">
      <c r="A9" s="480">
        <v>5</v>
      </c>
      <c r="B9" s="481" t="s">
        <v>159</v>
      </c>
      <c r="C9" s="483">
        <v>19742</v>
      </c>
      <c r="D9" s="504">
        <v>19742</v>
      </c>
      <c r="E9" s="482">
        <v>19056</v>
      </c>
      <c r="F9" s="485">
        <v>19056.450441412519</v>
      </c>
      <c r="G9" s="484">
        <v>15876.559599999999</v>
      </c>
      <c r="H9" s="484">
        <v>20102</v>
      </c>
    </row>
    <row r="10" spans="1:8" s="479" customFormat="1">
      <c r="A10" s="480">
        <v>6</v>
      </c>
      <c r="B10" s="481" t="s">
        <v>29</v>
      </c>
      <c r="C10" s="483">
        <v>19742</v>
      </c>
      <c r="D10" s="504">
        <v>19742</v>
      </c>
      <c r="E10" s="482">
        <v>19056</v>
      </c>
      <c r="F10" s="485">
        <v>19056.450441412519</v>
      </c>
      <c r="G10" s="484">
        <v>16192.479599999999</v>
      </c>
      <c r="H10" s="484">
        <v>20502</v>
      </c>
    </row>
    <row r="11" spans="1:8" s="479" customFormat="1">
      <c r="A11" s="480">
        <v>7</v>
      </c>
      <c r="B11" s="481" t="s">
        <v>160</v>
      </c>
      <c r="C11" s="483">
        <v>20083</v>
      </c>
      <c r="D11" s="504">
        <v>19102</v>
      </c>
      <c r="E11" s="482">
        <v>18874</v>
      </c>
      <c r="F11" s="485">
        <v>18873.613764044945</v>
      </c>
      <c r="G11" s="484">
        <v>15429.532799999999</v>
      </c>
      <c r="H11" s="484">
        <v>19536</v>
      </c>
    </row>
    <row r="12" spans="1:8" s="479" customFormat="1">
      <c r="A12" s="480">
        <v>8</v>
      </c>
      <c r="B12" s="481" t="s">
        <v>31</v>
      </c>
      <c r="C12" s="483">
        <v>16294</v>
      </c>
      <c r="D12" s="504">
        <v>16294</v>
      </c>
      <c r="E12" s="482">
        <v>16146</v>
      </c>
      <c r="F12" s="485">
        <v>16146.376404494382</v>
      </c>
      <c r="G12" s="484">
        <v>12918.758599999999</v>
      </c>
      <c r="H12" s="484">
        <f>16341+16</f>
        <v>16357</v>
      </c>
    </row>
    <row r="13" spans="1:8" s="479" customFormat="1">
      <c r="A13" s="480">
        <v>9</v>
      </c>
      <c r="B13" s="481" t="s">
        <v>161</v>
      </c>
      <c r="C13" s="483">
        <v>15637</v>
      </c>
      <c r="D13" s="504">
        <v>14816</v>
      </c>
      <c r="E13" s="482">
        <v>17683</v>
      </c>
      <c r="F13" s="485">
        <v>17682.974719101123</v>
      </c>
      <c r="G13" s="484">
        <v>15048.849199999999</v>
      </c>
      <c r="H13" s="484">
        <v>19054</v>
      </c>
    </row>
    <row r="14" spans="1:8" s="479" customFormat="1">
      <c r="A14" s="480">
        <v>10</v>
      </c>
      <c r="B14" s="481" t="s">
        <v>33</v>
      </c>
      <c r="C14" s="483">
        <v>16021</v>
      </c>
      <c r="D14" s="504">
        <v>15708</v>
      </c>
      <c r="E14" s="482">
        <v>16519</v>
      </c>
      <c r="F14" s="485">
        <v>16519.293539325845</v>
      </c>
      <c r="G14" s="484">
        <v>13852.302199999998</v>
      </c>
      <c r="H14" s="484">
        <v>17539</v>
      </c>
    </row>
    <row r="15" spans="1:8" s="479" customFormat="1">
      <c r="A15" s="480">
        <v>11</v>
      </c>
      <c r="B15" s="481" t="s">
        <v>34</v>
      </c>
      <c r="C15" s="483">
        <v>10919</v>
      </c>
      <c r="D15" s="504">
        <v>10640</v>
      </c>
      <c r="E15" s="482">
        <v>10658</v>
      </c>
      <c r="F15" s="485">
        <v>9761.4885634028888</v>
      </c>
      <c r="G15" s="484">
        <v>6968.4053999999996</v>
      </c>
      <c r="H15" s="484">
        <f>8818+5</f>
        <v>8823</v>
      </c>
    </row>
    <row r="16" spans="1:8" s="479" customFormat="1">
      <c r="A16" s="480">
        <v>12</v>
      </c>
      <c r="B16" s="481" t="s">
        <v>35</v>
      </c>
      <c r="C16" s="483">
        <v>12735</v>
      </c>
      <c r="D16" s="504">
        <v>12873</v>
      </c>
      <c r="E16" s="482">
        <v>12845</v>
      </c>
      <c r="F16" s="485">
        <v>12845.413322632423</v>
      </c>
      <c r="G16" s="484">
        <v>8613.5587999999989</v>
      </c>
      <c r="H16" s="484">
        <v>10906</v>
      </c>
    </row>
    <row r="17" spans="1:8" s="479" customFormat="1">
      <c r="A17" s="480">
        <v>13</v>
      </c>
      <c r="B17" s="481" t="s">
        <v>162</v>
      </c>
      <c r="C17" s="483">
        <v>10489</v>
      </c>
      <c r="D17" s="504">
        <v>11658</v>
      </c>
      <c r="E17" s="482">
        <v>11673</v>
      </c>
      <c r="F17" s="485">
        <v>11672.746187800964</v>
      </c>
      <c r="G17" s="484">
        <v>10381.920999999998</v>
      </c>
      <c r="H17" s="484">
        <v>13145</v>
      </c>
    </row>
    <row r="18" spans="1:8" s="479" customFormat="1">
      <c r="A18" s="480">
        <v>14</v>
      </c>
      <c r="B18" s="481" t="s">
        <v>37</v>
      </c>
      <c r="C18" s="483">
        <v>11477</v>
      </c>
      <c r="D18" s="504">
        <v>11477</v>
      </c>
      <c r="E18" s="482">
        <v>11049</v>
      </c>
      <c r="F18" s="485">
        <v>10699.145465489566</v>
      </c>
      <c r="G18" s="484">
        <v>9689.2663999999986</v>
      </c>
      <c r="H18" s="484">
        <f>12263+5</f>
        <v>12268</v>
      </c>
    </row>
    <row r="19" spans="1:8" s="479" customFormat="1">
      <c r="A19" s="480">
        <v>15</v>
      </c>
      <c r="B19" s="481" t="s">
        <v>38</v>
      </c>
      <c r="C19" s="483">
        <v>13375</v>
      </c>
      <c r="D19" s="504">
        <v>12260</v>
      </c>
      <c r="E19" s="482">
        <v>12222</v>
      </c>
      <c r="F19" s="485">
        <v>11871.812600321027</v>
      </c>
      <c r="G19" s="484">
        <v>9787.2015999999985</v>
      </c>
      <c r="H19" s="484">
        <f>12372+20</f>
        <v>12392</v>
      </c>
    </row>
    <row r="20" spans="1:8" s="487" customFormat="1">
      <c r="A20" s="480">
        <v>16</v>
      </c>
      <c r="B20" s="486" t="s">
        <v>39</v>
      </c>
      <c r="C20" s="483">
        <v>12976</v>
      </c>
      <c r="D20" s="504">
        <v>13224</v>
      </c>
      <c r="E20" s="482">
        <v>13026</v>
      </c>
      <c r="F20" s="485">
        <v>12671.562600321027</v>
      </c>
      <c r="G20" s="484">
        <v>9943.5819999999985</v>
      </c>
      <c r="H20" s="484">
        <f>12579+11</f>
        <v>12590</v>
      </c>
    </row>
    <row r="21" spans="1:8" s="479" customFormat="1">
      <c r="A21" s="480">
        <v>17</v>
      </c>
      <c r="B21" s="481" t="s">
        <v>40</v>
      </c>
      <c r="C21" s="483">
        <v>7333</v>
      </c>
      <c r="D21" s="504">
        <v>6652</v>
      </c>
      <c r="E21" s="482">
        <v>6652</v>
      </c>
      <c r="F21" s="485">
        <v>6652</v>
      </c>
      <c r="G21" s="484">
        <v>6651.6955999999991</v>
      </c>
      <c r="H21" s="484">
        <f>8418+4</f>
        <v>8422</v>
      </c>
    </row>
    <row r="22" spans="1:8" s="479" customFormat="1">
      <c r="A22" s="480">
        <v>18</v>
      </c>
      <c r="B22" s="481" t="s">
        <v>163</v>
      </c>
      <c r="C22" s="483">
        <v>5517</v>
      </c>
      <c r="D22" s="504">
        <v>6714</v>
      </c>
      <c r="E22" s="482">
        <v>6714</v>
      </c>
      <c r="F22" s="485">
        <v>6714</v>
      </c>
      <c r="G22" s="484">
        <v>6714.0897999999997</v>
      </c>
      <c r="H22" s="484">
        <v>8501</v>
      </c>
    </row>
    <row r="23" spans="1:8" s="479" customFormat="1">
      <c r="A23" s="480">
        <v>19</v>
      </c>
      <c r="B23" s="488" t="s">
        <v>42</v>
      </c>
      <c r="C23" s="483">
        <v>6903</v>
      </c>
      <c r="D23" s="504">
        <v>9225</v>
      </c>
      <c r="E23" s="482">
        <v>7789</v>
      </c>
      <c r="F23" s="485">
        <v>7789.0714285714284</v>
      </c>
      <c r="G23" s="484">
        <v>7410.6933999999992</v>
      </c>
      <c r="H23" s="484">
        <v>9383</v>
      </c>
    </row>
    <row r="24" spans="1:8" s="479" customFormat="1">
      <c r="A24" s="480">
        <v>20</v>
      </c>
      <c r="B24" s="481" t="s">
        <v>43</v>
      </c>
      <c r="C24" s="483">
        <v>5118</v>
      </c>
      <c r="D24" s="504">
        <v>5669</v>
      </c>
      <c r="E24" s="482">
        <v>5496</v>
      </c>
      <c r="F24" s="485">
        <v>5495.9107142857138</v>
      </c>
      <c r="G24" s="484">
        <v>6017.4861999999994</v>
      </c>
      <c r="H24" s="484">
        <v>7619</v>
      </c>
    </row>
    <row r="25" spans="1:8" s="479" customFormat="1">
      <c r="A25" s="480">
        <v>21</v>
      </c>
      <c r="B25" s="481" t="s">
        <v>44</v>
      </c>
      <c r="C25" s="483">
        <v>12992</v>
      </c>
      <c r="D25" s="504">
        <v>12665</v>
      </c>
      <c r="E25" s="482">
        <v>12272</v>
      </c>
      <c r="F25" s="485">
        <v>12271.687600321027</v>
      </c>
      <c r="G25" s="484">
        <v>9881.1877999999997</v>
      </c>
      <c r="H25" s="484">
        <f>12497+14</f>
        <v>12511</v>
      </c>
    </row>
    <row r="26" spans="1:8" s="479" customFormat="1">
      <c r="A26" s="480">
        <v>22</v>
      </c>
      <c r="B26" s="481" t="s">
        <v>164</v>
      </c>
      <c r="C26" s="483">
        <v>7890</v>
      </c>
      <c r="D26" s="504">
        <v>7597</v>
      </c>
      <c r="E26" s="482">
        <v>8589</v>
      </c>
      <c r="F26" s="485">
        <v>8588.8214285714275</v>
      </c>
      <c r="G26" s="484">
        <v>6017.4861999999994</v>
      </c>
      <c r="H26" s="484">
        <v>7619</v>
      </c>
    </row>
    <row r="27" spans="1:8" s="479" customFormat="1">
      <c r="A27" s="480">
        <v>23</v>
      </c>
      <c r="B27" s="481" t="s">
        <v>165</v>
      </c>
      <c r="C27" s="483">
        <v>6693</v>
      </c>
      <c r="D27" s="504">
        <v>7345</v>
      </c>
      <c r="E27" s="482">
        <v>7345</v>
      </c>
      <c r="F27" s="485">
        <v>6589.4464285714284</v>
      </c>
      <c r="G27" s="484">
        <v>4973.3705999999993</v>
      </c>
      <c r="H27" s="484">
        <v>6297</v>
      </c>
    </row>
    <row r="28" spans="1:8" s="479" customFormat="1">
      <c r="A28" s="480">
        <v>24</v>
      </c>
      <c r="B28" s="481" t="s">
        <v>47</v>
      </c>
      <c r="C28" s="483">
        <v>7512</v>
      </c>
      <c r="D28" s="504">
        <v>7495</v>
      </c>
      <c r="E28" s="482">
        <v>7495</v>
      </c>
      <c r="F28" s="485">
        <v>7495.2857142857138</v>
      </c>
      <c r="G28" s="484">
        <v>7410.6933999999992</v>
      </c>
      <c r="H28" s="484">
        <v>9383</v>
      </c>
    </row>
    <row r="29" spans="1:8" s="479" customFormat="1">
      <c r="A29" s="480">
        <v>25</v>
      </c>
      <c r="B29" s="481" t="s">
        <v>48</v>
      </c>
      <c r="C29" s="483">
        <v>6714</v>
      </c>
      <c r="D29" s="504">
        <v>7397</v>
      </c>
      <c r="E29" s="482">
        <v>7086</v>
      </c>
      <c r="F29" s="485">
        <v>6695.5357142857138</v>
      </c>
      <c r="G29" s="484">
        <v>4722.2141999999994</v>
      </c>
      <c r="H29" s="484">
        <v>5979</v>
      </c>
    </row>
    <row r="30" spans="1:8" s="479" customFormat="1">
      <c r="A30" s="480">
        <v>26</v>
      </c>
      <c r="B30" s="481" t="s">
        <v>49</v>
      </c>
      <c r="C30" s="483">
        <v>7491</v>
      </c>
      <c r="D30" s="504">
        <v>7597</v>
      </c>
      <c r="E30" s="482">
        <v>6411</v>
      </c>
      <c r="F30" s="485">
        <v>6042.6785714285716</v>
      </c>
      <c r="G30" s="484">
        <v>4973.3705999999993</v>
      </c>
      <c r="H30" s="484">
        <v>6297</v>
      </c>
    </row>
    <row r="31" spans="1:8" s="479" customFormat="1">
      <c r="A31" s="480">
        <v>27</v>
      </c>
      <c r="B31" s="481" t="s">
        <v>166</v>
      </c>
      <c r="C31" s="483">
        <v>10919</v>
      </c>
      <c r="D31" s="504">
        <v>11504</v>
      </c>
      <c r="E31" s="482">
        <v>10717</v>
      </c>
      <c r="F31" s="485">
        <v>10717</v>
      </c>
      <c r="G31" s="484">
        <v>7030.7995999999994</v>
      </c>
      <c r="H31" s="484">
        <f>8900+2</f>
        <v>8902</v>
      </c>
    </row>
    <row r="32" spans="1:8" s="479" customFormat="1">
      <c r="A32" s="480">
        <v>28</v>
      </c>
      <c r="B32" s="481" t="s">
        <v>51</v>
      </c>
      <c r="C32" s="483">
        <v>7302</v>
      </c>
      <c r="D32" s="504">
        <v>6633</v>
      </c>
      <c r="E32" s="482">
        <v>7216</v>
      </c>
      <c r="F32" s="485">
        <v>6842</v>
      </c>
      <c r="G32" s="484">
        <v>4973.3705999999993</v>
      </c>
      <c r="H32" s="484">
        <v>6297</v>
      </c>
    </row>
    <row r="33" spans="1:8" s="479" customFormat="1">
      <c r="A33" s="480">
        <v>29</v>
      </c>
      <c r="B33" s="481" t="s">
        <v>167</v>
      </c>
      <c r="C33" s="483">
        <v>10289</v>
      </c>
      <c r="D33" s="504">
        <v>10289</v>
      </c>
      <c r="E33" s="482">
        <v>12560</v>
      </c>
      <c r="F33" s="485">
        <v>11681.732142857143</v>
      </c>
      <c r="G33" s="484">
        <v>9434.9507999999987</v>
      </c>
      <c r="H33" s="484">
        <v>11946</v>
      </c>
    </row>
    <row r="34" spans="1:8" s="479" customFormat="1">
      <c r="A34" s="480">
        <v>30</v>
      </c>
      <c r="B34" s="481" t="s">
        <v>53</v>
      </c>
      <c r="C34" s="483">
        <v>3750</v>
      </c>
      <c r="D34" s="504">
        <v>3750</v>
      </c>
      <c r="E34" s="482">
        <v>3750</v>
      </c>
      <c r="F34" s="485">
        <v>3749.5178571428569</v>
      </c>
      <c r="G34" s="484">
        <v>2981.4949999999999</v>
      </c>
      <c r="H34" s="484">
        <v>3775</v>
      </c>
    </row>
    <row r="35" spans="1:8" s="479" customFormat="1">
      <c r="A35" s="480">
        <v>31</v>
      </c>
      <c r="B35" s="507" t="s">
        <v>194</v>
      </c>
      <c r="C35" s="483">
        <v>4929</v>
      </c>
      <c r="D35" s="504">
        <v>0</v>
      </c>
      <c r="E35" s="482"/>
      <c r="F35" s="485"/>
      <c r="G35" s="484"/>
      <c r="H35" s="484"/>
    </row>
    <row r="36" spans="1:8" s="479" customFormat="1">
      <c r="A36" s="480">
        <v>32</v>
      </c>
      <c r="B36" s="508" t="s">
        <v>147</v>
      </c>
      <c r="C36" s="483">
        <v>8310</v>
      </c>
      <c r="D36" s="504">
        <v>0</v>
      </c>
      <c r="E36" s="482"/>
      <c r="F36" s="485"/>
      <c r="G36" s="484"/>
      <c r="H36" s="484"/>
    </row>
    <row r="37" spans="1:8" s="479" customFormat="1" ht="14.5" thickBot="1">
      <c r="A37" s="480">
        <v>33</v>
      </c>
      <c r="B37" s="509" t="s">
        <v>195</v>
      </c>
      <c r="C37" s="483">
        <v>7364</v>
      </c>
      <c r="D37" s="504">
        <v>0</v>
      </c>
      <c r="E37" s="482"/>
      <c r="F37" s="485"/>
      <c r="G37" s="484"/>
      <c r="H37" s="484"/>
    </row>
    <row r="38" spans="1:8" s="479" customFormat="1">
      <c r="A38" s="489"/>
      <c r="B38" s="490" t="s">
        <v>168</v>
      </c>
      <c r="C38" s="492">
        <f t="shared" ref="C38:H38" si="0">SUM(C5:C37)</f>
        <v>513133</v>
      </c>
      <c r="D38" s="506">
        <f t="shared" si="0"/>
        <v>488938</v>
      </c>
      <c r="E38" s="506">
        <f t="shared" si="0"/>
        <v>489918</v>
      </c>
      <c r="F38" s="506">
        <f t="shared" si="0"/>
        <v>483645.21167736762</v>
      </c>
      <c r="G38" s="506">
        <f t="shared" si="0"/>
        <v>390631.96009999997</v>
      </c>
      <c r="H38" s="506">
        <f t="shared" si="0"/>
        <v>496651</v>
      </c>
    </row>
    <row r="39" spans="1:8" s="479" customFormat="1">
      <c r="A39" s="480">
        <v>34</v>
      </c>
      <c r="B39" s="493" t="s">
        <v>169</v>
      </c>
      <c r="C39" s="483">
        <v>37827</v>
      </c>
      <c r="D39" s="504">
        <v>37827</v>
      </c>
      <c r="E39" s="482">
        <v>37827</v>
      </c>
      <c r="F39" s="494">
        <v>37827.25293106545</v>
      </c>
      <c r="G39" s="482">
        <v>29154.677199999998</v>
      </c>
      <c r="H39" s="482">
        <v>36914</v>
      </c>
    </row>
    <row r="40" spans="1:8" s="479" customFormat="1">
      <c r="A40" s="480">
        <v>35</v>
      </c>
      <c r="B40" s="495" t="s">
        <v>170</v>
      </c>
      <c r="C40" s="483">
        <v>34512</v>
      </c>
      <c r="D40" s="504">
        <v>34512</v>
      </c>
      <c r="E40" s="482">
        <v>35259</v>
      </c>
      <c r="F40" s="494">
        <v>34081.334923933398</v>
      </c>
      <c r="G40" s="482">
        <v>27128.840199999999</v>
      </c>
      <c r="H40" s="482">
        <v>34349</v>
      </c>
    </row>
    <row r="41" spans="1:8" s="479" customFormat="1">
      <c r="A41" s="480">
        <v>36</v>
      </c>
      <c r="B41" s="495" t="s">
        <v>171</v>
      </c>
      <c r="C41" s="483">
        <v>34615</v>
      </c>
      <c r="D41" s="504">
        <v>35719</v>
      </c>
      <c r="E41" s="482">
        <v>35332</v>
      </c>
      <c r="F41" s="494">
        <v>33973.642807665667</v>
      </c>
      <c r="G41" s="482">
        <v>28270.891</v>
      </c>
      <c r="H41" s="482">
        <v>35795</v>
      </c>
    </row>
    <row r="42" spans="1:8" s="479" customFormat="1">
      <c r="A42" s="480">
        <v>37</v>
      </c>
      <c r="B42" s="493" t="s">
        <v>172</v>
      </c>
      <c r="C42" s="483">
        <v>27193</v>
      </c>
      <c r="D42" s="504">
        <v>24924</v>
      </c>
      <c r="E42" s="482">
        <v>27291</v>
      </c>
      <c r="F42" s="494">
        <v>25340.823186844194</v>
      </c>
      <c r="G42" s="482">
        <v>23806.9414</v>
      </c>
      <c r="H42" s="482">
        <v>30143</v>
      </c>
    </row>
    <row r="43" spans="1:8" s="479" customFormat="1">
      <c r="A43" s="480">
        <v>38</v>
      </c>
      <c r="B43" s="493" t="s">
        <v>173</v>
      </c>
      <c r="C43" s="483">
        <v>27552</v>
      </c>
      <c r="D43" s="504">
        <v>23915</v>
      </c>
      <c r="E43" s="482">
        <v>23915</v>
      </c>
      <c r="F43" s="494">
        <v>23914.593678647478</v>
      </c>
      <c r="G43" s="482">
        <v>19170.815399999999</v>
      </c>
      <c r="H43" s="482">
        <v>24273</v>
      </c>
    </row>
    <row r="44" spans="1:8" s="479" customFormat="1">
      <c r="A44" s="480">
        <v>39</v>
      </c>
      <c r="B44" s="493" t="s">
        <v>174</v>
      </c>
      <c r="C44" s="483">
        <v>27750</v>
      </c>
      <c r="D44" s="504">
        <v>26157</v>
      </c>
      <c r="E44" s="482">
        <v>25740</v>
      </c>
      <c r="F44" s="494">
        <v>25740.123784601965</v>
      </c>
      <c r="G44" s="482">
        <v>20718.823399999997</v>
      </c>
      <c r="H44" s="482">
        <v>26233</v>
      </c>
    </row>
    <row r="45" spans="1:8" s="479" customFormat="1">
      <c r="A45" s="480">
        <v>40</v>
      </c>
      <c r="B45" s="493" t="s">
        <v>175</v>
      </c>
      <c r="C45" s="483">
        <v>19313</v>
      </c>
      <c r="D45" s="504">
        <v>19071</v>
      </c>
      <c r="E45" s="482">
        <v>21018</v>
      </c>
      <c r="F45" s="494">
        <v>21017.941635239487</v>
      </c>
      <c r="G45" s="482">
        <v>18700.0946</v>
      </c>
      <c r="H45" s="482">
        <v>23677</v>
      </c>
    </row>
    <row r="46" spans="1:8" s="479" customFormat="1">
      <c r="A46" s="480">
        <v>41</v>
      </c>
      <c r="B46" s="493" t="s">
        <v>176</v>
      </c>
      <c r="C46" s="483">
        <v>22225</v>
      </c>
      <c r="D46" s="504">
        <v>19268</v>
      </c>
      <c r="E46" s="482">
        <v>18447</v>
      </c>
      <c r="F46" s="494">
        <v>18444.365940634703</v>
      </c>
      <c r="G46" s="482">
        <v>16592.908199999998</v>
      </c>
      <c r="H46" s="482">
        <v>21009</v>
      </c>
    </row>
    <row r="47" spans="1:8" s="479" customFormat="1">
      <c r="A47" s="480">
        <v>42</v>
      </c>
      <c r="B47" s="493" t="s">
        <v>177</v>
      </c>
      <c r="C47" s="483">
        <v>22778</v>
      </c>
      <c r="D47" s="504">
        <v>19962</v>
      </c>
      <c r="E47" s="482">
        <v>17722</v>
      </c>
      <c r="F47" s="494">
        <v>17721.988994073734</v>
      </c>
      <c r="G47" s="482">
        <v>12734.735199999999</v>
      </c>
      <c r="H47" s="482">
        <v>16124</v>
      </c>
    </row>
    <row r="48" spans="1:8" s="479" customFormat="1">
      <c r="A48" s="480">
        <v>43</v>
      </c>
      <c r="B48" s="493" t="s">
        <v>178</v>
      </c>
      <c r="C48" s="483">
        <v>21592</v>
      </c>
      <c r="D48" s="504">
        <v>20475</v>
      </c>
      <c r="E48" s="482">
        <v>21005</v>
      </c>
      <c r="F48" s="494">
        <v>21005.107314194822</v>
      </c>
      <c r="G48" s="482">
        <v>18459.205599999998</v>
      </c>
      <c r="H48" s="482">
        <v>23372</v>
      </c>
    </row>
    <row r="49" spans="1:8" s="479" customFormat="1">
      <c r="A49" s="480">
        <v>44</v>
      </c>
      <c r="B49" s="493" t="s">
        <v>179</v>
      </c>
      <c r="C49" s="483">
        <v>20262</v>
      </c>
      <c r="D49" s="504">
        <v>17722</v>
      </c>
      <c r="E49" s="482">
        <v>17722</v>
      </c>
      <c r="F49" s="494">
        <v>17721.988994073734</v>
      </c>
      <c r="G49" s="482">
        <v>15427.953199999998</v>
      </c>
      <c r="H49" s="482">
        <v>19534</v>
      </c>
    </row>
    <row r="50" spans="1:8" s="479" customFormat="1">
      <c r="A50" s="480">
        <v>45</v>
      </c>
      <c r="B50" s="493" t="s">
        <v>180</v>
      </c>
      <c r="C50" s="483">
        <v>15289</v>
      </c>
      <c r="D50" s="504">
        <v>15289</v>
      </c>
      <c r="E50" s="482">
        <v>12892</v>
      </c>
      <c r="F50" s="494">
        <v>12892.114728443519</v>
      </c>
      <c r="G50" s="482">
        <v>11720.632</v>
      </c>
      <c r="H50" s="482">
        <v>14840</v>
      </c>
    </row>
    <row r="51" spans="1:8" s="479" customFormat="1">
      <c r="A51" s="480">
        <v>46</v>
      </c>
      <c r="B51" s="495" t="s">
        <v>181</v>
      </c>
      <c r="C51" s="483">
        <v>19587</v>
      </c>
      <c r="D51" s="504">
        <v>16766</v>
      </c>
      <c r="E51" s="482">
        <v>15789</v>
      </c>
      <c r="F51" s="494">
        <v>15788.766771851511</v>
      </c>
      <c r="G51" s="482">
        <v>14941.436399999999</v>
      </c>
      <c r="H51" s="482">
        <v>18918</v>
      </c>
    </row>
    <row r="52" spans="1:8" s="479" customFormat="1">
      <c r="A52" s="480">
        <v>47</v>
      </c>
      <c r="B52" s="493" t="s">
        <v>182</v>
      </c>
      <c r="C52" s="483">
        <v>19211</v>
      </c>
      <c r="D52" s="504">
        <v>18076</v>
      </c>
      <c r="E52" s="482">
        <v>17329</v>
      </c>
      <c r="F52" s="494">
        <v>17329.050976166654</v>
      </c>
      <c r="G52" s="482">
        <v>12523.068799999999</v>
      </c>
      <c r="H52" s="482">
        <v>15856</v>
      </c>
    </row>
    <row r="53" spans="1:8" s="479" customFormat="1">
      <c r="A53" s="480">
        <v>48</v>
      </c>
      <c r="B53" s="493" t="s">
        <v>183</v>
      </c>
      <c r="C53" s="483">
        <v>18025</v>
      </c>
      <c r="D53" s="504">
        <v>13891</v>
      </c>
      <c r="E53" s="482">
        <v>16901</v>
      </c>
      <c r="F53" s="494">
        <v>14812.502629621078</v>
      </c>
      <c r="G53" s="482">
        <v>13977.880399999998</v>
      </c>
      <c r="H53" s="482">
        <v>17698</v>
      </c>
    </row>
    <row r="54" spans="1:8" s="479" customFormat="1">
      <c r="A54" s="480">
        <v>49</v>
      </c>
      <c r="B54" s="495" t="s">
        <v>184</v>
      </c>
      <c r="C54" s="483">
        <v>11766</v>
      </c>
      <c r="D54" s="504">
        <v>11503</v>
      </c>
      <c r="E54" s="482">
        <v>10388</v>
      </c>
      <c r="F54" s="494">
        <v>10388.40070294261</v>
      </c>
      <c r="G54" s="482">
        <v>8039.5595999999996</v>
      </c>
      <c r="H54" s="482">
        <v>10102</v>
      </c>
    </row>
    <row r="55" spans="1:8" s="479" customFormat="1">
      <c r="A55" s="489"/>
      <c r="B55" s="496" t="s">
        <v>185</v>
      </c>
      <c r="C55" s="492">
        <f t="shared" ref="C55:H55" si="1">SUM(C39:C54)</f>
        <v>379497</v>
      </c>
      <c r="D55" s="504">
        <f t="shared" si="1"/>
        <v>355077</v>
      </c>
      <c r="E55" s="491">
        <f t="shared" si="1"/>
        <v>354577</v>
      </c>
      <c r="F55" s="491">
        <f t="shared" si="1"/>
        <v>348000.00000000006</v>
      </c>
      <c r="G55" s="491">
        <f t="shared" si="1"/>
        <v>291368.46259999997</v>
      </c>
      <c r="H55" s="491">
        <f t="shared" si="1"/>
        <v>368837</v>
      </c>
    </row>
    <row r="56" spans="1:8" s="479" customFormat="1" ht="13.5" customHeight="1">
      <c r="A56" s="765" t="s">
        <v>186</v>
      </c>
      <c r="B56" s="765"/>
      <c r="C56" s="483">
        <v>35000</v>
      </c>
      <c r="D56" s="504">
        <v>35000</v>
      </c>
      <c r="E56" s="482">
        <v>35000</v>
      </c>
      <c r="F56" s="482">
        <v>24000</v>
      </c>
      <c r="G56" s="482">
        <v>18000</v>
      </c>
      <c r="H56" s="482">
        <v>24000</v>
      </c>
    </row>
    <row r="57" spans="1:8" s="479" customFormat="1">
      <c r="A57" s="765" t="s">
        <v>187</v>
      </c>
      <c r="B57" s="765"/>
      <c r="C57" s="499">
        <v>22370</v>
      </c>
      <c r="D57" s="504">
        <v>41811</v>
      </c>
      <c r="E57" s="498">
        <v>20505</v>
      </c>
      <c r="F57" s="497">
        <v>44355</v>
      </c>
      <c r="G57" s="497">
        <v>0</v>
      </c>
      <c r="H57" s="497">
        <f>900000-889488</f>
        <v>10512</v>
      </c>
    </row>
    <row r="58" spans="1:8" s="472" customFormat="1">
      <c r="A58" s="489"/>
      <c r="B58" s="496" t="s">
        <v>188</v>
      </c>
      <c r="C58" s="492">
        <f t="shared" ref="C58:H58" si="2">C38+C55+SUM(C56:C57)</f>
        <v>950000</v>
      </c>
      <c r="D58" s="504">
        <f t="shared" si="2"/>
        <v>920826</v>
      </c>
      <c r="E58" s="491">
        <f t="shared" si="2"/>
        <v>900000</v>
      </c>
      <c r="F58" s="491">
        <f t="shared" si="2"/>
        <v>900000.21167736768</v>
      </c>
      <c r="G58" s="491">
        <f t="shared" si="2"/>
        <v>700000.4227</v>
      </c>
      <c r="H58" s="491">
        <f t="shared" si="2"/>
        <v>900000</v>
      </c>
    </row>
    <row r="59" spans="1:8" s="479" customFormat="1">
      <c r="B59" s="16"/>
      <c r="C59" s="474"/>
      <c r="D59" s="505"/>
      <c r="E59" s="500">
        <f>900000-E58</f>
        <v>0</v>
      </c>
      <c r="F59" s="362"/>
      <c r="G59" s="362"/>
      <c r="H59" s="362"/>
    </row>
    <row r="60" spans="1:8">
      <c r="A60" s="501" t="s">
        <v>189</v>
      </c>
      <c r="D60" s="505"/>
    </row>
    <row r="61" spans="1:8">
      <c r="A61" s="501" t="s">
        <v>190</v>
      </c>
      <c r="D61" s="505"/>
    </row>
  </sheetData>
  <mergeCells count="3">
    <mergeCell ref="A56:B56"/>
    <mergeCell ref="A57:B57"/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199"/>
  <sheetViews>
    <sheetView zoomScaleNormal="100" workbookViewId="0">
      <selection activeCell="T7" sqref="T7:T38"/>
    </sheetView>
  </sheetViews>
  <sheetFormatPr defaultColWidth="9.26953125" defaultRowHeight="11.5"/>
  <cols>
    <col min="1" max="1" width="3.7265625" style="140" customWidth="1"/>
    <col min="2" max="2" width="4.26953125" style="23" customWidth="1"/>
    <col min="3" max="3" width="6" style="23" customWidth="1"/>
    <col min="4" max="4" width="20.1796875" style="23" customWidth="1"/>
    <col min="5" max="5" width="5.1796875" style="23" customWidth="1"/>
    <col min="6" max="6" width="5.81640625" style="141" customWidth="1"/>
    <col min="7" max="7" width="4.453125" style="23" customWidth="1"/>
    <col min="8" max="8" width="8" style="87" customWidth="1"/>
    <col min="9" max="9" width="6.7265625" style="87" customWidth="1"/>
    <col min="10" max="10" width="7.7265625" style="87" customWidth="1"/>
    <col min="11" max="11" width="4.453125" style="23" customWidth="1"/>
    <col min="12" max="12" width="6.7265625" style="23" customWidth="1"/>
    <col min="13" max="13" width="6.54296875" style="23" customWidth="1"/>
    <col min="14" max="14" width="7.1796875" style="23" customWidth="1"/>
    <col min="15" max="15" width="7.7265625" style="23" customWidth="1"/>
    <col min="16" max="17" width="8.7265625" style="87" customWidth="1"/>
    <col min="18" max="18" width="7.1796875" style="25" customWidth="1"/>
    <col min="19" max="19" width="5.26953125" style="26" customWidth="1"/>
    <col min="20" max="20" width="7" style="139" customWidth="1"/>
    <col min="21" max="21" width="7.7265625" style="21" customWidth="1"/>
    <col min="22" max="22" width="9.26953125" style="22"/>
    <col min="23" max="16384" width="9.26953125" style="23"/>
  </cols>
  <sheetData>
    <row r="1" spans="1:23">
      <c r="A1" s="14"/>
      <c r="B1" s="15"/>
      <c r="C1" s="15"/>
      <c r="D1" s="15"/>
      <c r="E1" s="15"/>
      <c r="F1" s="16"/>
      <c r="G1" s="15"/>
      <c r="H1" s="17"/>
      <c r="I1" s="17"/>
      <c r="J1" s="17"/>
      <c r="K1" s="15"/>
      <c r="L1" s="15"/>
      <c r="M1" s="15"/>
      <c r="N1" s="15"/>
      <c r="O1" s="15"/>
      <c r="P1" s="17"/>
      <c r="Q1" s="17"/>
      <c r="R1" s="18"/>
      <c r="S1" s="19"/>
      <c r="T1" s="20" t="s">
        <v>149</v>
      </c>
    </row>
    <row r="2" spans="1:23">
      <c r="A2" s="791" t="s">
        <v>265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  <c r="N2" s="791"/>
      <c r="O2" s="791"/>
      <c r="P2" s="791"/>
      <c r="Q2" s="24"/>
      <c r="T2" s="27"/>
      <c r="U2" s="28"/>
    </row>
    <row r="3" spans="1:23" ht="12" thickBot="1">
      <c r="A3" s="792"/>
      <c r="B3" s="792"/>
      <c r="C3" s="792"/>
      <c r="D3" s="792"/>
      <c r="E3" s="792"/>
      <c r="F3" s="792"/>
      <c r="G3" s="792"/>
      <c r="H3" s="792"/>
      <c r="I3" s="792"/>
      <c r="J3" s="792"/>
      <c r="K3" s="792"/>
      <c r="L3" s="792"/>
      <c r="M3" s="792"/>
      <c r="N3" s="792"/>
      <c r="O3" s="792"/>
      <c r="P3" s="792"/>
      <c r="Q3" s="15"/>
      <c r="R3" s="779" t="s">
        <v>0</v>
      </c>
      <c r="S3" s="779"/>
      <c r="T3" s="779"/>
      <c r="U3" s="22"/>
    </row>
    <row r="4" spans="1:23">
      <c r="A4" s="29"/>
      <c r="B4" s="30"/>
      <c r="C4" s="31"/>
      <c r="D4" s="32"/>
      <c r="E4" s="31" t="s">
        <v>1</v>
      </c>
      <c r="F4" s="33" t="s">
        <v>2</v>
      </c>
      <c r="G4" s="32"/>
      <c r="H4" s="34" t="s">
        <v>131</v>
      </c>
      <c r="I4" s="35"/>
      <c r="J4" s="35"/>
      <c r="K4" s="32"/>
      <c r="L4" s="36" t="s">
        <v>3</v>
      </c>
      <c r="M4" s="37" t="s">
        <v>4</v>
      </c>
      <c r="N4" s="37" t="s">
        <v>5</v>
      </c>
      <c r="O4" s="38" t="s">
        <v>6</v>
      </c>
      <c r="P4" s="39" t="s">
        <v>133</v>
      </c>
      <c r="Q4" s="40" t="s">
        <v>133</v>
      </c>
      <c r="R4" s="793"/>
      <c r="S4" s="794"/>
      <c r="T4" s="41" t="s">
        <v>7</v>
      </c>
      <c r="U4" s="42"/>
    </row>
    <row r="5" spans="1:23" s="56" customFormat="1" ht="35" thickBot="1">
      <c r="A5" s="43"/>
      <c r="B5" s="44" t="s">
        <v>8</v>
      </c>
      <c r="C5" s="45"/>
      <c r="D5" s="46" t="s">
        <v>9</v>
      </c>
      <c r="E5" s="47" t="s">
        <v>10</v>
      </c>
      <c r="F5" s="48" t="s">
        <v>11</v>
      </c>
      <c r="G5" s="49" t="s">
        <v>12</v>
      </c>
      <c r="H5" s="50" t="s">
        <v>13</v>
      </c>
      <c r="I5" s="51" t="s">
        <v>138</v>
      </c>
      <c r="J5" s="51" t="s">
        <v>14</v>
      </c>
      <c r="K5" s="13" t="s">
        <v>15</v>
      </c>
      <c r="L5" s="47" t="s">
        <v>16</v>
      </c>
      <c r="M5" s="52" t="s">
        <v>17</v>
      </c>
      <c r="N5" s="52" t="s">
        <v>18</v>
      </c>
      <c r="O5" s="52" t="s">
        <v>19</v>
      </c>
      <c r="P5" s="1" t="s">
        <v>20</v>
      </c>
      <c r="Q5" s="2" t="s">
        <v>21</v>
      </c>
      <c r="R5" s="795" t="s">
        <v>267</v>
      </c>
      <c r="S5" s="796"/>
      <c r="T5" s="53" t="s">
        <v>23</v>
      </c>
      <c r="U5" s="54"/>
      <c r="V5" s="55"/>
    </row>
    <row r="6" spans="1:23" ht="12" thickBot="1">
      <c r="A6" s="57">
        <f>SUM(A7:A38)</f>
        <v>32</v>
      </c>
      <c r="B6" s="58"/>
      <c r="C6" s="58"/>
      <c r="D6" s="59" t="s">
        <v>24</v>
      </c>
      <c r="E6" s="60">
        <f t="shared" ref="E6:Q6" si="0">SUM(E7:E38)</f>
        <v>181</v>
      </c>
      <c r="F6" s="61">
        <f t="shared" si="0"/>
        <v>20846</v>
      </c>
      <c r="G6" s="62">
        <f t="shared" si="0"/>
        <v>152</v>
      </c>
      <c r="H6" s="636">
        <f t="shared" si="0"/>
        <v>1864953</v>
      </c>
      <c r="I6" s="63">
        <f t="shared" si="0"/>
        <v>419639</v>
      </c>
      <c r="J6" s="636">
        <f t="shared" si="0"/>
        <v>1445314</v>
      </c>
      <c r="K6" s="62">
        <f t="shared" si="0"/>
        <v>188</v>
      </c>
      <c r="L6" s="64">
        <f t="shared" si="0"/>
        <v>75040</v>
      </c>
      <c r="M6" s="65">
        <f t="shared" si="0"/>
        <v>75027.500000000015</v>
      </c>
      <c r="N6" s="65">
        <f t="shared" si="0"/>
        <v>150055</v>
      </c>
      <c r="O6" s="65">
        <f t="shared" si="0"/>
        <v>75027.5</v>
      </c>
      <c r="P6" s="66">
        <f t="shared" si="0"/>
        <v>375150</v>
      </c>
      <c r="Q6" s="67">
        <f t="shared" si="0"/>
        <v>375883</v>
      </c>
      <c r="R6" s="68">
        <f>+P6-T6</f>
        <v>19086</v>
      </c>
      <c r="S6" s="69">
        <f t="shared" ref="S6:S35" si="1">+R6/T6*100</f>
        <v>5.3602723105958479</v>
      </c>
      <c r="T6" s="70">
        <f>SUM(T7:T38)</f>
        <v>356064</v>
      </c>
      <c r="U6" s="71"/>
    </row>
    <row r="7" spans="1:23">
      <c r="A7" s="72">
        <v>1</v>
      </c>
      <c r="B7" s="73">
        <v>1</v>
      </c>
      <c r="C7" s="797" t="s">
        <v>25</v>
      </c>
      <c r="D7" s="797"/>
      <c r="E7" s="74">
        <v>25</v>
      </c>
      <c r="F7" s="74">
        <v>2016</v>
      </c>
      <c r="G7" s="75">
        <v>9</v>
      </c>
      <c r="H7" s="76">
        <v>113571</v>
      </c>
      <c r="I7" s="77">
        <v>30818</v>
      </c>
      <c r="J7" s="78">
        <f t="shared" ref="J7:J31" si="2">+H7-I7</f>
        <v>82753</v>
      </c>
      <c r="K7" s="75">
        <v>9</v>
      </c>
      <c r="L7" s="79">
        <f t="shared" ref="L7:L38" si="3">+$J$44</f>
        <v>2345</v>
      </c>
      <c r="M7" s="80">
        <f t="shared" ref="M7:M38" si="4">+$P$45*E7/$E$6</f>
        <v>10362.914364640885</v>
      </c>
      <c r="N7" s="80">
        <f t="shared" ref="N7:N38" si="5">+$P$46*G7/$G$6</f>
        <v>8884.83552631579</v>
      </c>
      <c r="O7" s="80">
        <f t="shared" ref="O7:O38" si="6">+$P$47*K7/$K$6</f>
        <v>3591.7420212765956</v>
      </c>
      <c r="P7" s="81">
        <f t="shared" ref="P7:P38" si="7">SUM(L7:O7)</f>
        <v>25184.491912233272</v>
      </c>
      <c r="Q7" s="629">
        <v>25184</v>
      </c>
      <c r="R7" s="82">
        <f t="shared" ref="R7:R35" si="8">+P7-T7</f>
        <v>-346.50808776672784</v>
      </c>
      <c r="S7" s="457">
        <f t="shared" si="1"/>
        <v>-1.3572053102766357</v>
      </c>
      <c r="T7" s="84">
        <v>25531</v>
      </c>
      <c r="U7" s="85"/>
      <c r="V7" s="86">
        <f t="shared" ref="V7:V13" si="9">+R7</f>
        <v>-346.50808776672784</v>
      </c>
      <c r="W7" s="87"/>
    </row>
    <row r="8" spans="1:23">
      <c r="A8" s="88">
        <v>1</v>
      </c>
      <c r="B8" s="89">
        <v>2</v>
      </c>
      <c r="C8" s="790" t="s">
        <v>26</v>
      </c>
      <c r="D8" s="790"/>
      <c r="E8" s="90">
        <v>21</v>
      </c>
      <c r="F8" s="90">
        <v>6002</v>
      </c>
      <c r="G8" s="91">
        <v>10</v>
      </c>
      <c r="H8" s="92">
        <v>81090</v>
      </c>
      <c r="I8" s="93">
        <v>23209</v>
      </c>
      <c r="J8" s="94">
        <f t="shared" si="2"/>
        <v>57881</v>
      </c>
      <c r="K8" s="95">
        <v>8</v>
      </c>
      <c r="L8" s="96">
        <f t="shared" si="3"/>
        <v>2345</v>
      </c>
      <c r="M8" s="97">
        <f t="shared" si="4"/>
        <v>8704.848066298342</v>
      </c>
      <c r="N8" s="97">
        <f t="shared" si="5"/>
        <v>9872.03947368421</v>
      </c>
      <c r="O8" s="97">
        <f t="shared" si="6"/>
        <v>3192.6595744680849</v>
      </c>
      <c r="P8" s="98">
        <f t="shared" si="7"/>
        <v>24114.547114450637</v>
      </c>
      <c r="Q8" s="99">
        <v>24115</v>
      </c>
      <c r="R8" s="100">
        <f t="shared" si="8"/>
        <v>905.54711445063731</v>
      </c>
      <c r="S8" s="101">
        <f t="shared" si="1"/>
        <v>3.9017067277807636</v>
      </c>
      <c r="T8" s="102">
        <v>23209</v>
      </c>
      <c r="U8" s="103"/>
      <c r="V8" s="86"/>
      <c r="W8" s="87"/>
    </row>
    <row r="9" spans="1:23">
      <c r="A9" s="88">
        <v>1</v>
      </c>
      <c r="B9" s="89">
        <v>3</v>
      </c>
      <c r="C9" s="790" t="s">
        <v>27</v>
      </c>
      <c r="D9" s="790"/>
      <c r="E9" s="90">
        <v>16</v>
      </c>
      <c r="F9" s="104">
        <v>1449</v>
      </c>
      <c r="G9" s="91">
        <v>8</v>
      </c>
      <c r="H9" s="92">
        <v>72601</v>
      </c>
      <c r="I9" s="93">
        <v>18687</v>
      </c>
      <c r="J9" s="94">
        <f t="shared" si="2"/>
        <v>53914</v>
      </c>
      <c r="K9" s="95">
        <v>8</v>
      </c>
      <c r="L9" s="96">
        <f t="shared" si="3"/>
        <v>2345</v>
      </c>
      <c r="M9" s="97">
        <f t="shared" si="4"/>
        <v>6632.2651933701654</v>
      </c>
      <c r="N9" s="97">
        <f t="shared" si="5"/>
        <v>7897.6315789473683</v>
      </c>
      <c r="O9" s="97">
        <f t="shared" si="6"/>
        <v>3192.6595744680849</v>
      </c>
      <c r="P9" s="98">
        <f t="shared" si="7"/>
        <v>20067.556346785619</v>
      </c>
      <c r="Q9" s="99">
        <v>20068</v>
      </c>
      <c r="R9" s="100">
        <f t="shared" si="8"/>
        <v>811.5563467856191</v>
      </c>
      <c r="S9" s="101">
        <f t="shared" si="1"/>
        <v>4.2145634959784957</v>
      </c>
      <c r="T9" s="102">
        <v>19256</v>
      </c>
      <c r="U9" s="85"/>
      <c r="V9" s="86"/>
      <c r="W9" s="87"/>
    </row>
    <row r="10" spans="1:23">
      <c r="A10" s="88">
        <v>1</v>
      </c>
      <c r="B10" s="89">
        <v>4</v>
      </c>
      <c r="C10" s="790" t="s">
        <v>28</v>
      </c>
      <c r="D10" s="790"/>
      <c r="E10" s="105">
        <v>13</v>
      </c>
      <c r="F10" s="104">
        <v>1540</v>
      </c>
      <c r="G10" s="91">
        <v>8</v>
      </c>
      <c r="H10" s="92">
        <v>343727</v>
      </c>
      <c r="I10" s="93">
        <v>24031</v>
      </c>
      <c r="J10" s="106">
        <f t="shared" si="2"/>
        <v>319696</v>
      </c>
      <c r="K10" s="91">
        <v>10</v>
      </c>
      <c r="L10" s="96">
        <f t="shared" si="3"/>
        <v>2345</v>
      </c>
      <c r="M10" s="97">
        <f t="shared" si="4"/>
        <v>5388.7154696132593</v>
      </c>
      <c r="N10" s="97">
        <f t="shared" si="5"/>
        <v>7897.6315789473683</v>
      </c>
      <c r="O10" s="97">
        <f t="shared" si="6"/>
        <v>3990.8244680851062</v>
      </c>
      <c r="P10" s="98">
        <f t="shared" si="7"/>
        <v>19622.171516645732</v>
      </c>
      <c r="Q10" s="99">
        <v>19742</v>
      </c>
      <c r="R10" s="180">
        <f t="shared" si="8"/>
        <v>-119.82848335426752</v>
      </c>
      <c r="S10" s="458">
        <f t="shared" si="1"/>
        <v>-0.60697236021815171</v>
      </c>
      <c r="T10" s="102">
        <v>19742</v>
      </c>
      <c r="U10" s="181">
        <v>-120</v>
      </c>
      <c r="V10" s="86">
        <f t="shared" si="9"/>
        <v>-119.82848335426752</v>
      </c>
      <c r="W10" s="87"/>
    </row>
    <row r="11" spans="1:23">
      <c r="A11" s="88">
        <v>1</v>
      </c>
      <c r="B11" s="89">
        <v>5</v>
      </c>
      <c r="C11" s="790" t="s">
        <v>29</v>
      </c>
      <c r="D11" s="790"/>
      <c r="E11" s="105">
        <v>13</v>
      </c>
      <c r="F11" s="104">
        <v>1773</v>
      </c>
      <c r="G11" s="91">
        <v>8</v>
      </c>
      <c r="H11" s="92">
        <v>239060</v>
      </c>
      <c r="I11" s="93">
        <v>19592</v>
      </c>
      <c r="J11" s="106">
        <f t="shared" si="2"/>
        <v>219468</v>
      </c>
      <c r="K11" s="91">
        <v>10</v>
      </c>
      <c r="L11" s="96">
        <f t="shared" si="3"/>
        <v>2345</v>
      </c>
      <c r="M11" s="97">
        <f t="shared" si="4"/>
        <v>5388.7154696132593</v>
      </c>
      <c r="N11" s="97">
        <f t="shared" si="5"/>
        <v>7897.6315789473683</v>
      </c>
      <c r="O11" s="97">
        <f t="shared" si="6"/>
        <v>3990.8244680851062</v>
      </c>
      <c r="P11" s="98">
        <f t="shared" si="7"/>
        <v>19622.171516645732</v>
      </c>
      <c r="Q11" s="99">
        <v>19742</v>
      </c>
      <c r="R11" s="180">
        <f t="shared" si="8"/>
        <v>-119.82848335426752</v>
      </c>
      <c r="S11" s="458">
        <f t="shared" si="1"/>
        <v>-0.60697236021815171</v>
      </c>
      <c r="T11" s="102">
        <v>19742</v>
      </c>
      <c r="U11" s="181">
        <v>-120</v>
      </c>
      <c r="V11" s="86">
        <f t="shared" si="9"/>
        <v>-119.82848335426752</v>
      </c>
      <c r="W11" s="87"/>
    </row>
    <row r="12" spans="1:23">
      <c r="A12" s="88">
        <v>1</v>
      </c>
      <c r="B12" s="89">
        <v>6</v>
      </c>
      <c r="C12" s="790" t="s">
        <v>30</v>
      </c>
      <c r="D12" s="790"/>
      <c r="E12" s="105">
        <v>17</v>
      </c>
      <c r="F12" s="90">
        <v>1221</v>
      </c>
      <c r="G12" s="95">
        <v>8</v>
      </c>
      <c r="H12" s="92">
        <v>48915</v>
      </c>
      <c r="I12" s="93">
        <v>19410</v>
      </c>
      <c r="J12" s="106">
        <f t="shared" si="2"/>
        <v>29505</v>
      </c>
      <c r="K12" s="91">
        <v>7</v>
      </c>
      <c r="L12" s="96">
        <f t="shared" si="3"/>
        <v>2345</v>
      </c>
      <c r="M12" s="97">
        <f t="shared" si="4"/>
        <v>7046.7817679558011</v>
      </c>
      <c r="N12" s="97">
        <f t="shared" si="5"/>
        <v>7897.6315789473683</v>
      </c>
      <c r="O12" s="97">
        <f t="shared" si="6"/>
        <v>2793.5771276595747</v>
      </c>
      <c r="P12" s="98">
        <f t="shared" si="7"/>
        <v>20082.990474562743</v>
      </c>
      <c r="Q12" s="99">
        <v>20083</v>
      </c>
      <c r="R12" s="100">
        <f t="shared" si="8"/>
        <v>980.99047456274275</v>
      </c>
      <c r="S12" s="101">
        <f t="shared" si="1"/>
        <v>5.1355380303776714</v>
      </c>
      <c r="T12" s="102">
        <v>19102</v>
      </c>
      <c r="U12" s="103"/>
      <c r="V12" s="86"/>
      <c r="W12" s="87"/>
    </row>
    <row r="13" spans="1:23">
      <c r="A13" s="88">
        <v>1</v>
      </c>
      <c r="B13" s="89">
        <v>7</v>
      </c>
      <c r="C13" s="790" t="s">
        <v>31</v>
      </c>
      <c r="D13" s="790"/>
      <c r="E13" s="105">
        <v>9</v>
      </c>
      <c r="F13" s="90">
        <v>835</v>
      </c>
      <c r="G13" s="91">
        <v>7</v>
      </c>
      <c r="H13" s="92">
        <v>100591</v>
      </c>
      <c r="I13" s="93">
        <v>19951</v>
      </c>
      <c r="J13" s="94">
        <f t="shared" si="2"/>
        <v>80640</v>
      </c>
      <c r="K13" s="91">
        <v>8</v>
      </c>
      <c r="L13" s="96">
        <f t="shared" si="3"/>
        <v>2345</v>
      </c>
      <c r="M13" s="97">
        <f t="shared" si="4"/>
        <v>3730.6491712707184</v>
      </c>
      <c r="N13" s="97">
        <f t="shared" si="5"/>
        <v>6910.4276315789475</v>
      </c>
      <c r="O13" s="97">
        <f t="shared" si="6"/>
        <v>3192.6595744680849</v>
      </c>
      <c r="P13" s="98">
        <f t="shared" si="7"/>
        <v>16178.736377317751</v>
      </c>
      <c r="Q13" s="99">
        <v>16294</v>
      </c>
      <c r="R13" s="180">
        <f t="shared" si="8"/>
        <v>-115.26362268224875</v>
      </c>
      <c r="S13" s="458">
        <f t="shared" si="1"/>
        <v>-0.70739918179850714</v>
      </c>
      <c r="T13" s="102">
        <v>16294</v>
      </c>
      <c r="U13" s="181">
        <v>-115</v>
      </c>
      <c r="V13" s="86">
        <f t="shared" si="9"/>
        <v>-115.26362268224875</v>
      </c>
      <c r="W13" s="87"/>
    </row>
    <row r="14" spans="1:23">
      <c r="A14" s="88">
        <v>1</v>
      </c>
      <c r="B14" s="89">
        <v>8</v>
      </c>
      <c r="C14" s="790" t="s">
        <v>32</v>
      </c>
      <c r="D14" s="790"/>
      <c r="E14" s="104">
        <v>12</v>
      </c>
      <c r="F14" s="104">
        <v>696</v>
      </c>
      <c r="G14" s="91">
        <v>6</v>
      </c>
      <c r="H14" s="92">
        <v>47667</v>
      </c>
      <c r="I14" s="93">
        <v>32439</v>
      </c>
      <c r="J14" s="94">
        <f t="shared" si="2"/>
        <v>15228</v>
      </c>
      <c r="K14" s="95">
        <v>6</v>
      </c>
      <c r="L14" s="96">
        <f t="shared" si="3"/>
        <v>2345</v>
      </c>
      <c r="M14" s="97">
        <f t="shared" si="4"/>
        <v>4974.1988950276245</v>
      </c>
      <c r="N14" s="97">
        <f t="shared" si="5"/>
        <v>5923.2236842105267</v>
      </c>
      <c r="O14" s="97">
        <f t="shared" si="6"/>
        <v>2394.494680851064</v>
      </c>
      <c r="P14" s="98">
        <f t="shared" si="7"/>
        <v>15636.917260089216</v>
      </c>
      <c r="Q14" s="99">
        <v>15637</v>
      </c>
      <c r="R14" s="100">
        <f t="shared" si="8"/>
        <v>820.91726008921614</v>
      </c>
      <c r="S14" s="101">
        <f t="shared" si="1"/>
        <v>5.5407482457425496</v>
      </c>
      <c r="T14" s="102">
        <v>14816</v>
      </c>
      <c r="U14" s="103"/>
      <c r="V14" s="86"/>
      <c r="W14" s="87"/>
    </row>
    <row r="15" spans="1:23">
      <c r="A15" s="88">
        <v>1</v>
      </c>
      <c r="B15" s="89">
        <v>9</v>
      </c>
      <c r="C15" s="790" t="s">
        <v>33</v>
      </c>
      <c r="D15" s="790"/>
      <c r="E15" s="104">
        <v>11</v>
      </c>
      <c r="F15" s="108">
        <v>579</v>
      </c>
      <c r="G15" s="91">
        <v>6</v>
      </c>
      <c r="H15" s="92">
        <v>96308</v>
      </c>
      <c r="I15" s="93">
        <v>17055</v>
      </c>
      <c r="J15" s="94">
        <f t="shared" si="2"/>
        <v>79253</v>
      </c>
      <c r="K15" s="95">
        <v>8</v>
      </c>
      <c r="L15" s="96">
        <f t="shared" si="3"/>
        <v>2345</v>
      </c>
      <c r="M15" s="97">
        <f t="shared" si="4"/>
        <v>4559.6823204419888</v>
      </c>
      <c r="N15" s="97">
        <f t="shared" si="5"/>
        <v>5923.2236842105267</v>
      </c>
      <c r="O15" s="97">
        <f t="shared" si="6"/>
        <v>3192.6595744680849</v>
      </c>
      <c r="P15" s="98">
        <f t="shared" si="7"/>
        <v>16020.565579120601</v>
      </c>
      <c r="Q15" s="99">
        <v>16021</v>
      </c>
      <c r="R15" s="100">
        <f t="shared" si="8"/>
        <v>312.56557912060089</v>
      </c>
      <c r="S15" s="101">
        <f t="shared" si="1"/>
        <v>1.9898496251629798</v>
      </c>
      <c r="T15" s="102">
        <v>15708</v>
      </c>
      <c r="U15" s="103"/>
      <c r="V15" s="86"/>
      <c r="W15" s="87"/>
    </row>
    <row r="16" spans="1:23">
      <c r="A16" s="88">
        <v>1</v>
      </c>
      <c r="B16" s="89">
        <v>10</v>
      </c>
      <c r="C16" s="790" t="s">
        <v>34</v>
      </c>
      <c r="D16" s="790"/>
      <c r="E16" s="105">
        <v>3</v>
      </c>
      <c r="F16" s="104">
        <v>338</v>
      </c>
      <c r="G16" s="91">
        <v>5</v>
      </c>
      <c r="H16" s="92">
        <v>27056</v>
      </c>
      <c r="I16" s="93">
        <v>11194</v>
      </c>
      <c r="J16" s="94">
        <f t="shared" si="2"/>
        <v>15862</v>
      </c>
      <c r="K16" s="95">
        <v>6</v>
      </c>
      <c r="L16" s="96">
        <f t="shared" si="3"/>
        <v>2345</v>
      </c>
      <c r="M16" s="97">
        <f t="shared" si="4"/>
        <v>1243.5497237569061</v>
      </c>
      <c r="N16" s="97">
        <f t="shared" si="5"/>
        <v>4936.019736842105</v>
      </c>
      <c r="O16" s="109">
        <f t="shared" si="6"/>
        <v>2394.494680851064</v>
      </c>
      <c r="P16" s="98">
        <f t="shared" si="7"/>
        <v>10919.064141450075</v>
      </c>
      <c r="Q16" s="99">
        <v>10919</v>
      </c>
      <c r="R16" s="100">
        <f t="shared" si="8"/>
        <v>279.06414145007511</v>
      </c>
      <c r="S16" s="101">
        <f t="shared" si="1"/>
        <v>2.6227832843052172</v>
      </c>
      <c r="T16" s="102">
        <v>10640</v>
      </c>
      <c r="U16" s="85"/>
      <c r="V16" s="86"/>
      <c r="W16" s="87"/>
    </row>
    <row r="17" spans="1:23">
      <c r="A17" s="88">
        <v>1</v>
      </c>
      <c r="B17" s="89">
        <v>11</v>
      </c>
      <c r="C17" s="790" t="s">
        <v>35</v>
      </c>
      <c r="D17" s="790"/>
      <c r="E17" s="90">
        <v>5</v>
      </c>
      <c r="F17" s="90">
        <v>517</v>
      </c>
      <c r="G17" s="91">
        <v>6</v>
      </c>
      <c r="H17" s="92">
        <v>24044</v>
      </c>
      <c r="I17" s="93">
        <v>13381</v>
      </c>
      <c r="J17" s="110">
        <f t="shared" si="2"/>
        <v>10663</v>
      </c>
      <c r="K17" s="111">
        <v>6</v>
      </c>
      <c r="L17" s="96">
        <f t="shared" si="3"/>
        <v>2345</v>
      </c>
      <c r="M17" s="97">
        <f t="shared" si="4"/>
        <v>2072.5828729281766</v>
      </c>
      <c r="N17" s="97">
        <f t="shared" si="5"/>
        <v>5923.2236842105267</v>
      </c>
      <c r="O17" s="109">
        <f t="shared" si="6"/>
        <v>2394.494680851064</v>
      </c>
      <c r="P17" s="98">
        <f t="shared" si="7"/>
        <v>12735.301237989766</v>
      </c>
      <c r="Q17" s="178">
        <v>12735</v>
      </c>
      <c r="R17" s="107">
        <f t="shared" si="8"/>
        <v>-137.69876201023362</v>
      </c>
      <c r="S17" s="458">
        <f t="shared" si="1"/>
        <v>-1.0696711101548482</v>
      </c>
      <c r="T17" s="102">
        <v>12873</v>
      </c>
      <c r="U17" s="103"/>
      <c r="V17" s="86">
        <f>+R17</f>
        <v>-137.69876201023362</v>
      </c>
      <c r="W17" s="87"/>
    </row>
    <row r="18" spans="1:23">
      <c r="A18" s="88">
        <v>1</v>
      </c>
      <c r="B18" s="89">
        <v>12</v>
      </c>
      <c r="C18" s="790" t="s">
        <v>36</v>
      </c>
      <c r="D18" s="790"/>
      <c r="E18" s="105">
        <v>1</v>
      </c>
      <c r="F18" s="108">
        <v>320</v>
      </c>
      <c r="G18" s="111">
        <v>5</v>
      </c>
      <c r="H18" s="92">
        <v>41158</v>
      </c>
      <c r="I18" s="93">
        <v>12209</v>
      </c>
      <c r="J18" s="110">
        <f t="shared" si="2"/>
        <v>28949</v>
      </c>
      <c r="K18" s="91">
        <v>7</v>
      </c>
      <c r="L18" s="96">
        <f t="shared" si="3"/>
        <v>2345</v>
      </c>
      <c r="M18" s="97">
        <f t="shared" si="4"/>
        <v>414.51657458563534</v>
      </c>
      <c r="N18" s="97">
        <f t="shared" si="5"/>
        <v>4936.019736842105</v>
      </c>
      <c r="O18" s="109">
        <f t="shared" si="6"/>
        <v>2793.5771276595747</v>
      </c>
      <c r="P18" s="98">
        <f t="shared" si="7"/>
        <v>10489.113439087316</v>
      </c>
      <c r="Q18" s="178">
        <v>10489</v>
      </c>
      <c r="R18" s="107">
        <f t="shared" si="8"/>
        <v>-1168.8865609126842</v>
      </c>
      <c r="S18" s="458">
        <f t="shared" si="1"/>
        <v>-10.026475904208992</v>
      </c>
      <c r="T18" s="102">
        <v>11658</v>
      </c>
      <c r="U18" s="103"/>
      <c r="V18" s="86">
        <f>+R18</f>
        <v>-1168.8865609126842</v>
      </c>
      <c r="W18" s="87"/>
    </row>
    <row r="19" spans="1:23">
      <c r="A19" s="88">
        <v>1</v>
      </c>
      <c r="B19" s="89">
        <v>13</v>
      </c>
      <c r="C19" s="790" t="s">
        <v>37</v>
      </c>
      <c r="D19" s="790"/>
      <c r="E19" s="104">
        <v>4</v>
      </c>
      <c r="F19" s="104">
        <v>345</v>
      </c>
      <c r="G19" s="91">
        <v>5</v>
      </c>
      <c r="H19" s="92">
        <v>30322</v>
      </c>
      <c r="I19" s="93">
        <v>11585</v>
      </c>
      <c r="J19" s="94">
        <f t="shared" si="2"/>
        <v>18737</v>
      </c>
      <c r="K19" s="91">
        <v>6</v>
      </c>
      <c r="L19" s="96">
        <f t="shared" si="3"/>
        <v>2345</v>
      </c>
      <c r="M19" s="97">
        <f t="shared" si="4"/>
        <v>1658.0662983425414</v>
      </c>
      <c r="N19" s="97">
        <f t="shared" si="5"/>
        <v>4936.019736842105</v>
      </c>
      <c r="O19" s="109">
        <f t="shared" si="6"/>
        <v>2394.494680851064</v>
      </c>
      <c r="P19" s="98">
        <f t="shared" si="7"/>
        <v>11333.580716035711</v>
      </c>
      <c r="Q19" s="99">
        <v>11477</v>
      </c>
      <c r="R19" s="180">
        <f t="shared" si="8"/>
        <v>-143.41928396428921</v>
      </c>
      <c r="S19" s="459">
        <f t="shared" si="1"/>
        <v>-1.2496234552957148</v>
      </c>
      <c r="T19" s="102">
        <v>11477</v>
      </c>
      <c r="U19" s="630">
        <v>-143</v>
      </c>
      <c r="V19" s="86">
        <f>+R19</f>
        <v>-143.41928396428921</v>
      </c>
      <c r="W19" s="87"/>
    </row>
    <row r="20" spans="1:23">
      <c r="A20" s="88">
        <v>1</v>
      </c>
      <c r="B20" s="89">
        <v>14</v>
      </c>
      <c r="C20" s="790" t="s">
        <v>38</v>
      </c>
      <c r="D20" s="790"/>
      <c r="E20" s="105">
        <v>7</v>
      </c>
      <c r="F20" s="104">
        <v>305</v>
      </c>
      <c r="G20" s="91">
        <v>5</v>
      </c>
      <c r="H20" s="92">
        <v>59339</v>
      </c>
      <c r="I20" s="93">
        <v>12758</v>
      </c>
      <c r="J20" s="94">
        <f t="shared" si="2"/>
        <v>46581</v>
      </c>
      <c r="K20" s="95">
        <v>8</v>
      </c>
      <c r="L20" s="113">
        <f t="shared" si="3"/>
        <v>2345</v>
      </c>
      <c r="M20" s="109">
        <f t="shared" si="4"/>
        <v>2901.6160220994475</v>
      </c>
      <c r="N20" s="109">
        <f t="shared" si="5"/>
        <v>4936.019736842105</v>
      </c>
      <c r="O20" s="109">
        <f t="shared" si="6"/>
        <v>3192.6595744680849</v>
      </c>
      <c r="P20" s="98">
        <f t="shared" si="7"/>
        <v>13375.295333409638</v>
      </c>
      <c r="Q20" s="99">
        <v>13375</v>
      </c>
      <c r="R20" s="100">
        <f t="shared" si="8"/>
        <v>1115.2953334096383</v>
      </c>
      <c r="S20" s="112">
        <f t="shared" si="1"/>
        <v>9.0970255579905235</v>
      </c>
      <c r="T20" s="102">
        <v>12260</v>
      </c>
      <c r="U20" s="85"/>
      <c r="V20" s="86"/>
      <c r="W20" s="87"/>
    </row>
    <row r="21" spans="1:23">
      <c r="A21" s="88">
        <v>1</v>
      </c>
      <c r="B21" s="89">
        <v>15</v>
      </c>
      <c r="C21" s="790" t="s">
        <v>39</v>
      </c>
      <c r="D21" s="790"/>
      <c r="E21" s="114">
        <v>7</v>
      </c>
      <c r="F21" s="108">
        <v>384</v>
      </c>
      <c r="G21" s="111">
        <v>5</v>
      </c>
      <c r="H21" s="92">
        <v>39254</v>
      </c>
      <c r="I21" s="93">
        <v>13562</v>
      </c>
      <c r="J21" s="94">
        <f>+H21-I21</f>
        <v>25692</v>
      </c>
      <c r="K21" s="95">
        <v>7</v>
      </c>
      <c r="L21" s="96">
        <f t="shared" si="3"/>
        <v>2345</v>
      </c>
      <c r="M21" s="97">
        <f t="shared" si="4"/>
        <v>2901.6160220994475</v>
      </c>
      <c r="N21" s="97">
        <f t="shared" si="5"/>
        <v>4936.019736842105</v>
      </c>
      <c r="O21" s="109">
        <f t="shared" si="6"/>
        <v>2793.5771276595747</v>
      </c>
      <c r="P21" s="98">
        <f t="shared" si="7"/>
        <v>12976.212886601128</v>
      </c>
      <c r="Q21" s="178">
        <v>12976</v>
      </c>
      <c r="R21" s="107">
        <f t="shared" si="8"/>
        <v>-247.78711339887195</v>
      </c>
      <c r="S21" s="459">
        <f t="shared" si="1"/>
        <v>-1.87376825014271</v>
      </c>
      <c r="T21" s="102">
        <v>13224</v>
      </c>
      <c r="U21" s="85"/>
      <c r="V21" s="86">
        <f>+R21</f>
        <v>-247.78711339887195</v>
      </c>
      <c r="W21" s="87"/>
    </row>
    <row r="22" spans="1:23">
      <c r="A22" s="88">
        <v>1</v>
      </c>
      <c r="B22" s="89">
        <v>16</v>
      </c>
      <c r="C22" s="790" t="s">
        <v>40</v>
      </c>
      <c r="D22" s="790"/>
      <c r="E22" s="105">
        <v>2</v>
      </c>
      <c r="F22" s="104">
        <v>142</v>
      </c>
      <c r="G22" s="91">
        <v>3</v>
      </c>
      <c r="H22" s="92">
        <v>8461</v>
      </c>
      <c r="I22" s="93">
        <v>7073</v>
      </c>
      <c r="J22" s="94">
        <f>+H22-I22</f>
        <v>1388</v>
      </c>
      <c r="K22" s="95">
        <v>3</v>
      </c>
      <c r="L22" s="96">
        <f t="shared" si="3"/>
        <v>2345</v>
      </c>
      <c r="M22" s="97">
        <f t="shared" si="4"/>
        <v>829.03314917127068</v>
      </c>
      <c r="N22" s="97">
        <f t="shared" si="5"/>
        <v>2961.6118421052633</v>
      </c>
      <c r="O22" s="109">
        <f t="shared" si="6"/>
        <v>1197.247340425532</v>
      </c>
      <c r="P22" s="98">
        <f t="shared" si="7"/>
        <v>7332.8923317020653</v>
      </c>
      <c r="Q22" s="99">
        <v>7333</v>
      </c>
      <c r="R22" s="100">
        <f t="shared" si="8"/>
        <v>680.89233170206535</v>
      </c>
      <c r="S22" s="112">
        <f t="shared" si="1"/>
        <v>10.235903964252335</v>
      </c>
      <c r="T22" s="102">
        <v>6652</v>
      </c>
      <c r="U22" s="103"/>
      <c r="V22" s="86"/>
      <c r="W22" s="87"/>
    </row>
    <row r="23" spans="1:23">
      <c r="A23" s="88">
        <v>1</v>
      </c>
      <c r="B23" s="89">
        <v>17</v>
      </c>
      <c r="C23" s="790" t="s">
        <v>41</v>
      </c>
      <c r="D23" s="790"/>
      <c r="E23" s="105">
        <v>0</v>
      </c>
      <c r="F23" s="104">
        <v>75</v>
      </c>
      <c r="G23" s="91">
        <v>2</v>
      </c>
      <c r="H23" s="92">
        <v>8700</v>
      </c>
      <c r="I23" s="93">
        <v>7174</v>
      </c>
      <c r="J23" s="110">
        <f t="shared" si="2"/>
        <v>1526</v>
      </c>
      <c r="K23" s="91">
        <v>3</v>
      </c>
      <c r="L23" s="96">
        <f t="shared" si="3"/>
        <v>2345</v>
      </c>
      <c r="M23" s="97">
        <f t="shared" si="4"/>
        <v>0</v>
      </c>
      <c r="N23" s="97">
        <f t="shared" si="5"/>
        <v>1974.4078947368421</v>
      </c>
      <c r="O23" s="109">
        <f t="shared" si="6"/>
        <v>1197.247340425532</v>
      </c>
      <c r="P23" s="98">
        <f t="shared" si="7"/>
        <v>5516.6552351623741</v>
      </c>
      <c r="Q23" s="178">
        <v>5517</v>
      </c>
      <c r="R23" s="107">
        <f t="shared" si="8"/>
        <v>-1197.3447648376259</v>
      </c>
      <c r="S23" s="459">
        <f t="shared" si="1"/>
        <v>-17.83355324452824</v>
      </c>
      <c r="T23" s="102">
        <v>6714</v>
      </c>
      <c r="U23" s="103"/>
      <c r="V23" s="86">
        <f>+R23</f>
        <v>-1197.3447648376259</v>
      </c>
      <c r="W23" s="87"/>
    </row>
    <row r="24" spans="1:23">
      <c r="A24" s="88">
        <v>1</v>
      </c>
      <c r="B24" s="89">
        <v>18</v>
      </c>
      <c r="C24" s="790" t="s">
        <v>42</v>
      </c>
      <c r="D24" s="790"/>
      <c r="E24" s="105">
        <v>0</v>
      </c>
      <c r="F24" s="108">
        <v>153</v>
      </c>
      <c r="G24" s="95">
        <v>3</v>
      </c>
      <c r="H24" s="92">
        <v>11145</v>
      </c>
      <c r="I24" s="93">
        <v>8287</v>
      </c>
      <c r="J24" s="110">
        <f t="shared" si="2"/>
        <v>2858</v>
      </c>
      <c r="K24" s="111">
        <v>4</v>
      </c>
      <c r="L24" s="96">
        <f t="shared" si="3"/>
        <v>2345</v>
      </c>
      <c r="M24" s="97">
        <f t="shared" si="4"/>
        <v>0</v>
      </c>
      <c r="N24" s="97">
        <f t="shared" si="5"/>
        <v>2961.6118421052633</v>
      </c>
      <c r="O24" s="109">
        <f t="shared" si="6"/>
        <v>1596.3297872340424</v>
      </c>
      <c r="P24" s="98">
        <f t="shared" si="7"/>
        <v>6902.941629339306</v>
      </c>
      <c r="Q24" s="178">
        <v>6903</v>
      </c>
      <c r="R24" s="107">
        <f t="shared" si="8"/>
        <v>-2322.058370660694</v>
      </c>
      <c r="S24" s="459">
        <f t="shared" si="1"/>
        <v>-25.171364451606436</v>
      </c>
      <c r="T24" s="102">
        <v>9225</v>
      </c>
      <c r="U24" s="103"/>
      <c r="V24" s="86">
        <f>+R24</f>
        <v>-2322.058370660694</v>
      </c>
      <c r="W24" s="87"/>
    </row>
    <row r="25" spans="1:23">
      <c r="A25" s="88">
        <v>1</v>
      </c>
      <c r="B25" s="89">
        <v>19</v>
      </c>
      <c r="C25" s="790" t="s">
        <v>43</v>
      </c>
      <c r="D25" s="790"/>
      <c r="E25" s="105">
        <v>0</v>
      </c>
      <c r="F25" s="104">
        <v>82</v>
      </c>
      <c r="G25" s="91">
        <v>2</v>
      </c>
      <c r="H25" s="92">
        <v>6847</v>
      </c>
      <c r="I25" s="93">
        <v>5917</v>
      </c>
      <c r="J25" s="110">
        <f t="shared" si="2"/>
        <v>930</v>
      </c>
      <c r="K25" s="111">
        <v>2</v>
      </c>
      <c r="L25" s="96">
        <f t="shared" si="3"/>
        <v>2345</v>
      </c>
      <c r="M25" s="97">
        <f t="shared" si="4"/>
        <v>0</v>
      </c>
      <c r="N25" s="97">
        <f t="shared" si="5"/>
        <v>1974.4078947368421</v>
      </c>
      <c r="O25" s="109">
        <f t="shared" si="6"/>
        <v>798.16489361702122</v>
      </c>
      <c r="P25" s="98">
        <f t="shared" si="7"/>
        <v>5117.572788353863</v>
      </c>
      <c r="Q25" s="178">
        <v>5118</v>
      </c>
      <c r="R25" s="107">
        <f t="shared" si="8"/>
        <v>-551.42721164613704</v>
      </c>
      <c r="S25" s="459">
        <f t="shared" si="1"/>
        <v>-9.7270631795049738</v>
      </c>
      <c r="T25" s="102">
        <v>5669</v>
      </c>
      <c r="U25" s="103"/>
      <c r="V25" s="86">
        <f>+R25</f>
        <v>-551.42721164613704</v>
      </c>
      <c r="W25" s="87"/>
    </row>
    <row r="26" spans="1:23">
      <c r="A26" s="88">
        <v>1</v>
      </c>
      <c r="B26" s="89">
        <v>20</v>
      </c>
      <c r="C26" s="790" t="s">
        <v>44</v>
      </c>
      <c r="D26" s="790"/>
      <c r="E26" s="104">
        <v>8</v>
      </c>
      <c r="F26" s="104">
        <v>347</v>
      </c>
      <c r="G26" s="91">
        <v>5</v>
      </c>
      <c r="H26" s="92">
        <v>24561</v>
      </c>
      <c r="I26" s="93">
        <v>12808</v>
      </c>
      <c r="J26" s="94">
        <f t="shared" si="2"/>
        <v>11753</v>
      </c>
      <c r="K26" s="95">
        <v>6</v>
      </c>
      <c r="L26" s="96">
        <f t="shared" si="3"/>
        <v>2345</v>
      </c>
      <c r="M26" s="97">
        <f t="shared" si="4"/>
        <v>3316.1325966850827</v>
      </c>
      <c r="N26" s="97">
        <f t="shared" si="5"/>
        <v>4936.019736842105</v>
      </c>
      <c r="O26" s="109">
        <f t="shared" si="6"/>
        <v>2394.494680851064</v>
      </c>
      <c r="P26" s="98">
        <f t="shared" si="7"/>
        <v>12991.647014378254</v>
      </c>
      <c r="Q26" s="99">
        <v>12992</v>
      </c>
      <c r="R26" s="100">
        <f t="shared" si="8"/>
        <v>326.64701437825352</v>
      </c>
      <c r="S26" s="112">
        <f t="shared" si="1"/>
        <v>2.5791315781938691</v>
      </c>
      <c r="T26" s="102">
        <v>12665</v>
      </c>
      <c r="U26" s="103"/>
      <c r="V26" s="86"/>
      <c r="W26" s="87"/>
    </row>
    <row r="27" spans="1:23">
      <c r="A27" s="88">
        <v>1</v>
      </c>
      <c r="B27" s="89">
        <v>21</v>
      </c>
      <c r="C27" s="790" t="s">
        <v>45</v>
      </c>
      <c r="D27" s="790"/>
      <c r="E27" s="105">
        <v>0</v>
      </c>
      <c r="F27" s="104">
        <v>185</v>
      </c>
      <c r="G27" s="91">
        <v>4</v>
      </c>
      <c r="H27" s="92">
        <v>11965</v>
      </c>
      <c r="I27" s="93">
        <v>8972</v>
      </c>
      <c r="J27" s="110">
        <f t="shared" si="2"/>
        <v>2993</v>
      </c>
      <c r="K27" s="95">
        <v>4</v>
      </c>
      <c r="L27" s="96">
        <f t="shared" si="3"/>
        <v>2345</v>
      </c>
      <c r="M27" s="97">
        <f t="shared" si="4"/>
        <v>0</v>
      </c>
      <c r="N27" s="97">
        <f t="shared" si="5"/>
        <v>3948.8157894736842</v>
      </c>
      <c r="O27" s="109">
        <f t="shared" si="6"/>
        <v>1596.3297872340424</v>
      </c>
      <c r="P27" s="98">
        <f t="shared" si="7"/>
        <v>7890.1455767077268</v>
      </c>
      <c r="Q27" s="99">
        <v>7890</v>
      </c>
      <c r="R27" s="100">
        <f t="shared" si="8"/>
        <v>293.14557670772683</v>
      </c>
      <c r="S27" s="112">
        <f t="shared" si="1"/>
        <v>3.8587018126592971</v>
      </c>
      <c r="T27" s="102">
        <v>7597</v>
      </c>
      <c r="U27" s="103"/>
      <c r="V27" s="86"/>
      <c r="W27" s="87"/>
    </row>
    <row r="28" spans="1:23">
      <c r="A28" s="88">
        <v>1</v>
      </c>
      <c r="B28" s="89">
        <v>22</v>
      </c>
      <c r="C28" s="790" t="s">
        <v>46</v>
      </c>
      <c r="D28" s="790"/>
      <c r="E28" s="105">
        <v>0</v>
      </c>
      <c r="F28" s="104">
        <v>234</v>
      </c>
      <c r="G28" s="91">
        <v>4</v>
      </c>
      <c r="H28" s="92">
        <v>8115</v>
      </c>
      <c r="I28" s="93">
        <v>7613</v>
      </c>
      <c r="J28" s="110">
        <f t="shared" si="2"/>
        <v>502</v>
      </c>
      <c r="K28" s="111">
        <v>1</v>
      </c>
      <c r="L28" s="113">
        <f t="shared" si="3"/>
        <v>2345</v>
      </c>
      <c r="M28" s="109">
        <f t="shared" si="4"/>
        <v>0</v>
      </c>
      <c r="N28" s="109">
        <f t="shared" si="5"/>
        <v>3948.8157894736842</v>
      </c>
      <c r="O28" s="109">
        <f t="shared" si="6"/>
        <v>399.08244680851061</v>
      </c>
      <c r="P28" s="98">
        <f t="shared" si="7"/>
        <v>6692.8982362821944</v>
      </c>
      <c r="Q28" s="178">
        <v>6693</v>
      </c>
      <c r="R28" s="107">
        <f t="shared" si="8"/>
        <v>-652.10176371780562</v>
      </c>
      <c r="S28" s="459">
        <f t="shared" si="1"/>
        <v>-8.8781724127679453</v>
      </c>
      <c r="T28" s="102">
        <v>7345</v>
      </c>
      <c r="U28" s="103"/>
      <c r="V28" s="86">
        <f>+R28</f>
        <v>-652.10176371780562</v>
      </c>
      <c r="W28" s="87"/>
    </row>
    <row r="29" spans="1:23">
      <c r="A29" s="88">
        <v>1</v>
      </c>
      <c r="B29" s="89">
        <v>23</v>
      </c>
      <c r="C29" s="790" t="s">
        <v>47</v>
      </c>
      <c r="D29" s="790"/>
      <c r="E29" s="105">
        <v>0</v>
      </c>
      <c r="F29" s="104">
        <v>65</v>
      </c>
      <c r="G29" s="91">
        <v>2</v>
      </c>
      <c r="H29" s="92">
        <v>49449</v>
      </c>
      <c r="I29" s="93">
        <v>8031</v>
      </c>
      <c r="J29" s="106">
        <f t="shared" si="2"/>
        <v>41418</v>
      </c>
      <c r="K29" s="95">
        <v>8</v>
      </c>
      <c r="L29" s="96">
        <f t="shared" si="3"/>
        <v>2345</v>
      </c>
      <c r="M29" s="97">
        <f t="shared" si="4"/>
        <v>0</v>
      </c>
      <c r="N29" s="97">
        <f t="shared" si="5"/>
        <v>1974.4078947368421</v>
      </c>
      <c r="O29" s="109">
        <f t="shared" si="6"/>
        <v>3192.6595744680849</v>
      </c>
      <c r="P29" s="98">
        <f t="shared" si="7"/>
        <v>7512.067469204927</v>
      </c>
      <c r="Q29" s="99">
        <v>7512</v>
      </c>
      <c r="R29" s="100">
        <f t="shared" si="8"/>
        <v>17.067469204926965</v>
      </c>
      <c r="S29" s="112">
        <f t="shared" si="1"/>
        <v>0.22771806811110029</v>
      </c>
      <c r="T29" s="102">
        <v>7495</v>
      </c>
      <c r="U29" s="103"/>
      <c r="V29" s="86"/>
      <c r="W29" s="87"/>
    </row>
    <row r="30" spans="1:23">
      <c r="A30" s="88">
        <v>1</v>
      </c>
      <c r="B30" s="89">
        <v>24</v>
      </c>
      <c r="C30" s="790" t="s">
        <v>48</v>
      </c>
      <c r="D30" s="790"/>
      <c r="E30" s="105">
        <v>0</v>
      </c>
      <c r="F30" s="104">
        <v>61</v>
      </c>
      <c r="G30" s="91">
        <v>2</v>
      </c>
      <c r="H30" s="92">
        <v>27133</v>
      </c>
      <c r="I30" s="93">
        <v>7584</v>
      </c>
      <c r="J30" s="110">
        <f t="shared" si="2"/>
        <v>19549</v>
      </c>
      <c r="K30" s="111">
        <v>6</v>
      </c>
      <c r="L30" s="96">
        <f t="shared" si="3"/>
        <v>2345</v>
      </c>
      <c r="M30" s="97">
        <f t="shared" si="4"/>
        <v>0</v>
      </c>
      <c r="N30" s="97">
        <f t="shared" si="5"/>
        <v>1974.4078947368421</v>
      </c>
      <c r="O30" s="109">
        <f t="shared" si="6"/>
        <v>2394.494680851064</v>
      </c>
      <c r="P30" s="98">
        <f t="shared" si="7"/>
        <v>6713.9025755879056</v>
      </c>
      <c r="Q30" s="178">
        <v>6714</v>
      </c>
      <c r="R30" s="107">
        <f t="shared" si="8"/>
        <v>-683.09742441209437</v>
      </c>
      <c r="S30" s="459">
        <f t="shared" si="1"/>
        <v>-9.2347901096673564</v>
      </c>
      <c r="T30" s="102">
        <v>7397</v>
      </c>
      <c r="U30" s="85"/>
      <c r="V30" s="86">
        <f>+R30</f>
        <v>-683.09742441209437</v>
      </c>
      <c r="W30" s="87"/>
    </row>
    <row r="31" spans="1:23">
      <c r="A31" s="88">
        <v>1</v>
      </c>
      <c r="B31" s="89">
        <v>25</v>
      </c>
      <c r="C31" s="790" t="s">
        <v>49</v>
      </c>
      <c r="D31" s="790"/>
      <c r="E31" s="105">
        <v>0</v>
      </c>
      <c r="F31" s="104">
        <v>177</v>
      </c>
      <c r="G31" s="91">
        <v>4</v>
      </c>
      <c r="H31" s="92">
        <v>9362</v>
      </c>
      <c r="I31" s="93">
        <v>6962</v>
      </c>
      <c r="J31" s="106">
        <f t="shared" si="2"/>
        <v>2400</v>
      </c>
      <c r="K31" s="91">
        <v>3</v>
      </c>
      <c r="L31" s="96">
        <f t="shared" si="3"/>
        <v>2345</v>
      </c>
      <c r="M31" s="97">
        <f t="shared" si="4"/>
        <v>0</v>
      </c>
      <c r="N31" s="97">
        <f t="shared" si="5"/>
        <v>3948.8157894736842</v>
      </c>
      <c r="O31" s="109">
        <f t="shared" si="6"/>
        <v>1197.247340425532</v>
      </c>
      <c r="P31" s="98">
        <f t="shared" si="7"/>
        <v>7491.0631298992157</v>
      </c>
      <c r="Q31" s="99">
        <v>7491</v>
      </c>
      <c r="R31" s="100">
        <f t="shared" si="8"/>
        <v>-105.93687010078429</v>
      </c>
      <c r="S31" s="112">
        <f t="shared" si="1"/>
        <v>-1.3944566289427969</v>
      </c>
      <c r="T31" s="102">
        <v>7597</v>
      </c>
      <c r="U31" s="85"/>
      <c r="V31" s="86">
        <f>+R31</f>
        <v>-105.93687010078429</v>
      </c>
      <c r="W31" s="87"/>
    </row>
    <row r="32" spans="1:23">
      <c r="A32" s="88">
        <v>1</v>
      </c>
      <c r="B32" s="89">
        <v>26</v>
      </c>
      <c r="C32" s="790" t="s">
        <v>50</v>
      </c>
      <c r="D32" s="790"/>
      <c r="E32" s="104">
        <v>3</v>
      </c>
      <c r="F32" s="90">
        <v>379</v>
      </c>
      <c r="G32" s="91">
        <v>5</v>
      </c>
      <c r="H32" s="92">
        <v>36126</v>
      </c>
      <c r="I32" s="93">
        <v>16629</v>
      </c>
      <c r="J32" s="110">
        <f t="shared" ref="J32:J38" si="10">+H32-I32</f>
        <v>19497</v>
      </c>
      <c r="K32" s="111">
        <v>6</v>
      </c>
      <c r="L32" s="96">
        <f t="shared" si="3"/>
        <v>2345</v>
      </c>
      <c r="M32" s="97">
        <f t="shared" si="4"/>
        <v>1243.5497237569061</v>
      </c>
      <c r="N32" s="97">
        <f t="shared" si="5"/>
        <v>4936.019736842105</v>
      </c>
      <c r="O32" s="109">
        <f t="shared" si="6"/>
        <v>2394.494680851064</v>
      </c>
      <c r="P32" s="98">
        <f t="shared" si="7"/>
        <v>10919.064141450075</v>
      </c>
      <c r="Q32" s="178">
        <v>10919</v>
      </c>
      <c r="R32" s="107">
        <f t="shared" si="8"/>
        <v>-584.93585854992489</v>
      </c>
      <c r="S32" s="459">
        <f t="shared" si="1"/>
        <v>-5.0846302029722263</v>
      </c>
      <c r="T32" s="102">
        <v>11504</v>
      </c>
      <c r="U32" s="103"/>
      <c r="V32" s="86">
        <f>+R32</f>
        <v>-584.93585854992489</v>
      </c>
      <c r="W32" s="87"/>
    </row>
    <row r="33" spans="1:23">
      <c r="A33" s="88">
        <v>1</v>
      </c>
      <c r="B33" s="89">
        <v>27</v>
      </c>
      <c r="C33" s="790" t="s">
        <v>51</v>
      </c>
      <c r="D33" s="790"/>
      <c r="E33" s="105">
        <v>0</v>
      </c>
      <c r="F33" s="104">
        <v>137</v>
      </c>
      <c r="G33" s="91">
        <v>3</v>
      </c>
      <c r="H33" s="92">
        <v>26526</v>
      </c>
      <c r="I33" s="93">
        <v>20484</v>
      </c>
      <c r="J33" s="94">
        <f t="shared" si="10"/>
        <v>6042</v>
      </c>
      <c r="K33" s="95">
        <v>5</v>
      </c>
      <c r="L33" s="96">
        <f t="shared" si="3"/>
        <v>2345</v>
      </c>
      <c r="M33" s="97">
        <f t="shared" si="4"/>
        <v>0</v>
      </c>
      <c r="N33" s="97">
        <f t="shared" si="5"/>
        <v>2961.6118421052633</v>
      </c>
      <c r="O33" s="97">
        <f t="shared" si="6"/>
        <v>1995.4122340425531</v>
      </c>
      <c r="P33" s="98">
        <f t="shared" si="7"/>
        <v>7302.0240761478162</v>
      </c>
      <c r="Q33" s="99">
        <v>7302</v>
      </c>
      <c r="R33" s="100">
        <f t="shared" si="8"/>
        <v>669.02407614781623</v>
      </c>
      <c r="S33" s="112">
        <f t="shared" si="1"/>
        <v>10.086296941773199</v>
      </c>
      <c r="T33" s="102">
        <v>6633</v>
      </c>
      <c r="U33" s="103"/>
      <c r="V33" s="86"/>
      <c r="W33" s="87"/>
    </row>
    <row r="34" spans="1:23">
      <c r="A34" s="88">
        <v>1</v>
      </c>
      <c r="B34" s="89">
        <v>28</v>
      </c>
      <c r="C34" s="790" t="s">
        <v>52</v>
      </c>
      <c r="D34" s="790"/>
      <c r="E34" s="105">
        <v>0</v>
      </c>
      <c r="F34" s="104">
        <v>269</v>
      </c>
      <c r="G34" s="91">
        <v>5</v>
      </c>
      <c r="H34" s="92">
        <v>53133</v>
      </c>
      <c r="I34" s="93">
        <v>18130</v>
      </c>
      <c r="J34" s="94">
        <f t="shared" si="10"/>
        <v>35003</v>
      </c>
      <c r="K34" s="91">
        <v>7</v>
      </c>
      <c r="L34" s="96">
        <f t="shared" si="3"/>
        <v>2345</v>
      </c>
      <c r="M34" s="97">
        <f t="shared" si="4"/>
        <v>0</v>
      </c>
      <c r="N34" s="97">
        <f t="shared" si="5"/>
        <v>4936.019736842105</v>
      </c>
      <c r="O34" s="97">
        <f t="shared" si="6"/>
        <v>2793.5771276595747</v>
      </c>
      <c r="P34" s="98">
        <f t="shared" si="7"/>
        <v>10074.59686450168</v>
      </c>
      <c r="Q34" s="99">
        <v>10289</v>
      </c>
      <c r="R34" s="180">
        <f t="shared" si="8"/>
        <v>-214.4031354983199</v>
      </c>
      <c r="S34" s="459">
        <f t="shared" si="1"/>
        <v>-2.083809267162211</v>
      </c>
      <c r="T34" s="102">
        <v>10289</v>
      </c>
      <c r="U34" s="181">
        <v>-214</v>
      </c>
      <c r="V34" s="86">
        <f>+R34</f>
        <v>-214.4031354983199</v>
      </c>
      <c r="W34" s="87"/>
    </row>
    <row r="35" spans="1:23">
      <c r="A35" s="88">
        <v>1</v>
      </c>
      <c r="B35" s="89">
        <v>29</v>
      </c>
      <c r="C35" s="790" t="s">
        <v>53</v>
      </c>
      <c r="D35" s="790"/>
      <c r="E35" s="105">
        <v>0</v>
      </c>
      <c r="F35" s="115">
        <v>35</v>
      </c>
      <c r="G35" s="91">
        <v>1</v>
      </c>
      <c r="H35" s="116">
        <v>4444</v>
      </c>
      <c r="I35" s="93">
        <v>4094</v>
      </c>
      <c r="J35" s="106">
        <f t="shared" si="10"/>
        <v>350</v>
      </c>
      <c r="K35" s="91">
        <v>1</v>
      </c>
      <c r="L35" s="96">
        <f t="shared" si="3"/>
        <v>2345</v>
      </c>
      <c r="M35" s="97">
        <f t="shared" si="4"/>
        <v>0</v>
      </c>
      <c r="N35" s="97">
        <f t="shared" si="5"/>
        <v>987.20394736842104</v>
      </c>
      <c r="O35" s="97">
        <f t="shared" si="6"/>
        <v>399.08244680851061</v>
      </c>
      <c r="P35" s="98">
        <f>SUM(L35:O35)</f>
        <v>3731.2863941769315</v>
      </c>
      <c r="Q35" s="99">
        <v>3750</v>
      </c>
      <c r="R35" s="180">
        <f t="shared" si="8"/>
        <v>-18.713605823068519</v>
      </c>
      <c r="S35" s="459">
        <f t="shared" si="1"/>
        <v>-0.49902948861516055</v>
      </c>
      <c r="T35" s="102">
        <v>3750</v>
      </c>
      <c r="U35" s="181">
        <v>-19</v>
      </c>
      <c r="V35" s="86">
        <f>+R35</f>
        <v>-18.713605823068519</v>
      </c>
      <c r="W35" s="87"/>
    </row>
    <row r="36" spans="1:23">
      <c r="A36" s="88">
        <v>1</v>
      </c>
      <c r="B36" s="89">
        <v>30</v>
      </c>
      <c r="C36" s="790" t="s">
        <v>134</v>
      </c>
      <c r="D36" s="790"/>
      <c r="E36" s="105">
        <v>0</v>
      </c>
      <c r="F36" s="115">
        <v>30</v>
      </c>
      <c r="G36" s="91">
        <v>1</v>
      </c>
      <c r="H36" s="116">
        <v>4767</v>
      </c>
      <c r="I36" s="93">
        <v>0</v>
      </c>
      <c r="J36" s="106">
        <f t="shared" si="10"/>
        <v>4767</v>
      </c>
      <c r="K36" s="91">
        <v>4</v>
      </c>
      <c r="L36" s="96">
        <f t="shared" si="3"/>
        <v>2345</v>
      </c>
      <c r="M36" s="97">
        <f t="shared" si="4"/>
        <v>0</v>
      </c>
      <c r="N36" s="97">
        <f t="shared" si="5"/>
        <v>987.20394736842104</v>
      </c>
      <c r="O36" s="97">
        <f t="shared" si="6"/>
        <v>1596.3297872340424</v>
      </c>
      <c r="P36" s="98">
        <f>SUM(L36:O36)</f>
        <v>4928.5337346024635</v>
      </c>
      <c r="Q36" s="99">
        <v>4929</v>
      </c>
      <c r="R36" s="100">
        <f>+P36-T36</f>
        <v>4928.5337346024635</v>
      </c>
      <c r="S36" s="112"/>
      <c r="T36" s="117">
        <v>0</v>
      </c>
      <c r="U36" s="103"/>
      <c r="V36" s="86"/>
    </row>
    <row r="37" spans="1:23">
      <c r="A37" s="461">
        <v>1</v>
      </c>
      <c r="B37" s="462">
        <v>31</v>
      </c>
      <c r="C37" s="463" t="s">
        <v>147</v>
      </c>
      <c r="D37" s="463"/>
      <c r="E37" s="464">
        <v>0</v>
      </c>
      <c r="F37" s="465">
        <v>62</v>
      </c>
      <c r="G37" s="466">
        <v>2</v>
      </c>
      <c r="H37" s="467">
        <v>209146</v>
      </c>
      <c r="I37" s="468">
        <v>0</v>
      </c>
      <c r="J37" s="106">
        <f t="shared" si="10"/>
        <v>209146</v>
      </c>
      <c r="K37" s="466">
        <v>10</v>
      </c>
      <c r="L37" s="96">
        <f t="shared" si="3"/>
        <v>2345</v>
      </c>
      <c r="M37" s="97">
        <f t="shared" si="4"/>
        <v>0</v>
      </c>
      <c r="N37" s="97">
        <f t="shared" si="5"/>
        <v>1974.4078947368421</v>
      </c>
      <c r="O37" s="97">
        <f t="shared" si="6"/>
        <v>3990.8244680851062</v>
      </c>
      <c r="P37" s="98">
        <f>SUM(L37:O37)</f>
        <v>8310.2323628219474</v>
      </c>
      <c r="Q37" s="469">
        <v>8310</v>
      </c>
      <c r="R37" s="100">
        <f>+P37-T37</f>
        <v>8310.2323628219474</v>
      </c>
      <c r="S37" s="112"/>
      <c r="T37" s="117">
        <v>0</v>
      </c>
      <c r="U37" s="103"/>
      <c r="V37" s="86"/>
    </row>
    <row r="38" spans="1:23" ht="12" thickBot="1">
      <c r="A38" s="118">
        <v>1</v>
      </c>
      <c r="B38" s="119">
        <v>32</v>
      </c>
      <c r="C38" s="798" t="s">
        <v>135</v>
      </c>
      <c r="D38" s="798"/>
      <c r="E38" s="120">
        <v>4</v>
      </c>
      <c r="F38" s="121">
        <v>93</v>
      </c>
      <c r="G38" s="122">
        <v>3</v>
      </c>
      <c r="H38" s="123">
        <v>370</v>
      </c>
      <c r="I38" s="124">
        <v>0</v>
      </c>
      <c r="J38" s="125">
        <f t="shared" si="10"/>
        <v>370</v>
      </c>
      <c r="K38" s="122">
        <v>1</v>
      </c>
      <c r="L38" s="126">
        <f t="shared" si="3"/>
        <v>2345</v>
      </c>
      <c r="M38" s="127">
        <f t="shared" si="4"/>
        <v>1658.0662983425414</v>
      </c>
      <c r="N38" s="127">
        <f t="shared" si="5"/>
        <v>2961.6118421052633</v>
      </c>
      <c r="O38" s="127">
        <f t="shared" si="6"/>
        <v>399.08244680851061</v>
      </c>
      <c r="P38" s="128">
        <f t="shared" si="7"/>
        <v>7363.7605872563145</v>
      </c>
      <c r="Q38" s="129">
        <v>7364</v>
      </c>
      <c r="R38" s="130">
        <f>+P38-T38</f>
        <v>7363.7605872563145</v>
      </c>
      <c r="S38" s="131"/>
      <c r="T38" s="132">
        <v>0</v>
      </c>
      <c r="U38" s="103"/>
      <c r="V38" s="86"/>
    </row>
    <row r="39" spans="1:23" ht="12" thickBot="1">
      <c r="A39" s="133"/>
      <c r="B39" s="134"/>
      <c r="C39" s="135"/>
      <c r="E39" s="136"/>
      <c r="F39" s="137"/>
      <c r="G39" s="136"/>
      <c r="K39" s="136"/>
      <c r="L39" s="136"/>
      <c r="M39" s="136"/>
      <c r="N39" s="136"/>
      <c r="O39" s="799" t="s">
        <v>54</v>
      </c>
      <c r="P39" s="799"/>
      <c r="Q39" s="799"/>
      <c r="R39" s="420">
        <f>SUM(V6:V40)</f>
        <v>-8729.2394026900438</v>
      </c>
      <c r="S39" s="379"/>
      <c r="T39" s="23"/>
    </row>
    <row r="40" spans="1:23" ht="12" thickBot="1">
      <c r="A40" s="133"/>
      <c r="B40" s="134"/>
      <c r="C40" s="135"/>
      <c r="E40" s="136"/>
      <c r="F40" s="137"/>
      <c r="G40" s="136"/>
      <c r="K40" s="136"/>
      <c r="L40" s="136"/>
      <c r="M40" s="136"/>
      <c r="N40" s="136"/>
      <c r="O40" s="800" t="s">
        <v>55</v>
      </c>
      <c r="P40" s="801"/>
      <c r="Q40" s="801"/>
      <c r="R40" s="802"/>
      <c r="S40" s="421">
        <f>SUM(U7:U38)</f>
        <v>-731</v>
      </c>
    </row>
    <row r="41" spans="1:23" ht="5.5" customHeight="1"/>
    <row r="42" spans="1:23">
      <c r="B42" s="142" t="s">
        <v>56</v>
      </c>
      <c r="C42" s="803" t="s">
        <v>57</v>
      </c>
      <c r="D42" s="803"/>
      <c r="E42" s="804">
        <v>950000</v>
      </c>
      <c r="F42" s="804"/>
      <c r="G42" s="141" t="s">
        <v>58</v>
      </c>
      <c r="H42" s="143" t="s">
        <v>59</v>
      </c>
      <c r="I42" s="144"/>
      <c r="J42" s="144"/>
      <c r="K42" s="145" t="s">
        <v>60</v>
      </c>
      <c r="L42" s="145"/>
      <c r="M42" s="142"/>
      <c r="N42" s="142"/>
      <c r="P42" s="146" t="s">
        <v>58</v>
      </c>
      <c r="Q42" s="146"/>
      <c r="R42" s="147"/>
      <c r="S42" s="145"/>
      <c r="T42" s="23"/>
      <c r="U42" s="22"/>
    </row>
    <row r="43" spans="1:23" ht="4.9000000000000004" customHeight="1">
      <c r="A43" s="784"/>
      <c r="B43" s="784"/>
      <c r="C43" s="784"/>
      <c r="D43" s="784"/>
      <c r="E43" s="779"/>
      <c r="F43" s="779"/>
    </row>
    <row r="44" spans="1:23">
      <c r="A44" s="805">
        <f>+E44/$E$42*100</f>
        <v>3.6842105263157889</v>
      </c>
      <c r="B44" s="805"/>
      <c r="C44" s="806" t="s">
        <v>61</v>
      </c>
      <c r="D44" s="806"/>
      <c r="E44" s="807">
        <v>35000</v>
      </c>
      <c r="F44" s="807"/>
      <c r="H44" s="148">
        <v>0.2</v>
      </c>
      <c r="J44" s="149">
        <v>2345</v>
      </c>
      <c r="K44" s="26" t="s">
        <v>62</v>
      </c>
      <c r="L44" s="26"/>
      <c r="M44" s="26"/>
      <c r="N44" s="150"/>
      <c r="P44" s="87">
        <f>+J44*A6</f>
        <v>75040</v>
      </c>
      <c r="R44" s="151">
        <f>+S44/A6</f>
        <v>2344.6875</v>
      </c>
      <c r="S44" s="808">
        <f>+E48*0.2</f>
        <v>75030</v>
      </c>
      <c r="T44" s="808"/>
      <c r="U44" s="86"/>
    </row>
    <row r="45" spans="1:23">
      <c r="B45" s="809" t="s">
        <v>63</v>
      </c>
      <c r="C45" s="809"/>
      <c r="D45" s="809"/>
      <c r="E45" s="807">
        <f>+E42-E44-E43</f>
        <v>915000</v>
      </c>
      <c r="F45" s="807"/>
      <c r="H45" s="148">
        <v>0.2</v>
      </c>
      <c r="J45" s="152">
        <v>0.25</v>
      </c>
      <c r="K45" s="26" t="s">
        <v>64</v>
      </c>
      <c r="L45" s="26"/>
      <c r="M45" s="26"/>
      <c r="N45" s="150"/>
      <c r="P45" s="87">
        <f>+($E$48-$P$44)*J45</f>
        <v>75027.5</v>
      </c>
      <c r="R45" s="140"/>
      <c r="S45" s="15"/>
      <c r="T45" s="23"/>
      <c r="U45" s="22"/>
    </row>
    <row r="46" spans="1:23">
      <c r="A46" s="805">
        <v>3</v>
      </c>
      <c r="B46" s="805"/>
      <c r="C46" s="809" t="s">
        <v>65</v>
      </c>
      <c r="D46" s="809"/>
      <c r="E46" s="807">
        <f>+A46*E45/100</f>
        <v>27450</v>
      </c>
      <c r="F46" s="807"/>
      <c r="H46" s="148">
        <v>0.4</v>
      </c>
      <c r="J46" s="152">
        <v>0.5</v>
      </c>
      <c r="K46" s="26" t="s">
        <v>66</v>
      </c>
      <c r="L46" s="26"/>
      <c r="M46" s="26"/>
      <c r="N46" s="150"/>
      <c r="P46" s="87">
        <f>+($E$48-$P$44)*J46</f>
        <v>150055</v>
      </c>
      <c r="R46" s="140"/>
      <c r="S46" s="15"/>
      <c r="T46" s="23"/>
      <c r="U46" s="22"/>
    </row>
    <row r="47" spans="1:23">
      <c r="A47" s="805">
        <v>15</v>
      </c>
      <c r="B47" s="805"/>
      <c r="C47" s="784" t="s">
        <v>67</v>
      </c>
      <c r="D47" s="784"/>
      <c r="E47" s="807">
        <f>+A47*E45/100</f>
        <v>137250</v>
      </c>
      <c r="F47" s="807"/>
      <c r="H47" s="148">
        <v>0.2</v>
      </c>
      <c r="J47" s="152">
        <v>0.25</v>
      </c>
      <c r="K47" s="23" t="s">
        <v>68</v>
      </c>
      <c r="L47" s="153"/>
      <c r="M47" s="153"/>
      <c r="N47" s="154"/>
      <c r="P47" s="154">
        <f>+($E$48-$P$44)*J47</f>
        <v>75027.5</v>
      </c>
      <c r="R47" s="140"/>
      <c r="S47" s="15"/>
      <c r="T47" s="23"/>
      <c r="U47" s="22"/>
    </row>
    <row r="48" spans="1:23" ht="12" thickBot="1">
      <c r="A48" s="810">
        <f>(100-A$46-A$47)/2</f>
        <v>41</v>
      </c>
      <c r="B48" s="810"/>
      <c r="C48" s="784" t="s">
        <v>69</v>
      </c>
      <c r="D48" s="784"/>
      <c r="E48" s="807">
        <f>+A48*$E$45/100</f>
        <v>375150</v>
      </c>
      <c r="F48" s="807"/>
      <c r="H48" s="23"/>
      <c r="L48" s="155" t="s">
        <v>70</v>
      </c>
      <c r="M48" s="156"/>
      <c r="P48" s="157">
        <f>SUM(P44:P47)</f>
        <v>375150</v>
      </c>
      <c r="Q48" s="157"/>
      <c r="R48" s="158"/>
      <c r="S48" s="23"/>
      <c r="T48" s="23"/>
      <c r="U48" s="22"/>
    </row>
    <row r="49" spans="1:22" ht="12" thickBot="1">
      <c r="A49" s="810">
        <f>(100-A$46-A$47)/2</f>
        <v>41</v>
      </c>
      <c r="B49" s="810"/>
      <c r="C49" s="784" t="s">
        <v>71</v>
      </c>
      <c r="D49" s="784"/>
      <c r="E49" s="807">
        <f>+A49*$E$45/100</f>
        <v>375150</v>
      </c>
      <c r="F49" s="807"/>
      <c r="H49" s="159">
        <f>+E46+S40+'Kojad-2017_950 000 €'!V23</f>
        <v>22370.312464285096</v>
      </c>
      <c r="I49" s="812" t="s">
        <v>72</v>
      </c>
      <c r="J49" s="812"/>
      <c r="K49" s="812"/>
      <c r="L49" s="812"/>
      <c r="M49" s="812"/>
      <c r="R49" s="140"/>
      <c r="S49" s="23"/>
      <c r="T49" s="23"/>
      <c r="U49" s="22"/>
    </row>
    <row r="50" spans="1:22">
      <c r="A50" s="813">
        <f>SUM(A44:B49)</f>
        <v>103.68421052631578</v>
      </c>
      <c r="B50" s="813"/>
      <c r="D50" s="160" t="s">
        <v>70</v>
      </c>
      <c r="E50" s="814">
        <f>SUM(E46:E49)+E44+E43</f>
        <v>950000</v>
      </c>
      <c r="F50" s="814"/>
      <c r="G50" s="161"/>
      <c r="H50" s="162">
        <f>+E50-E47-Q6-'Kojad-2017_950 000 €'!T5-E44-H49</f>
        <v>-0.31246428509621182</v>
      </c>
      <c r="I50" s="160" t="s">
        <v>73</v>
      </c>
      <c r="J50" s="10"/>
      <c r="K50" s="10"/>
      <c r="L50" s="10"/>
      <c r="M50" s="10"/>
      <c r="N50" s="10"/>
      <c r="O50" s="10"/>
      <c r="P50" s="10"/>
      <c r="Q50" s="10"/>
      <c r="R50" s="163"/>
      <c r="S50" s="10"/>
      <c r="T50" s="10"/>
      <c r="U50" s="86"/>
    </row>
    <row r="51" spans="1:22">
      <c r="C51" s="149" t="s">
        <v>74</v>
      </c>
      <c r="D51" s="87"/>
      <c r="E51" s="87"/>
      <c r="F51" s="164"/>
      <c r="G51" s="87"/>
      <c r="H51" s="23"/>
      <c r="I51" s="23"/>
      <c r="J51" s="23"/>
      <c r="K51" s="87"/>
      <c r="M51" s="87"/>
      <c r="N51" s="87"/>
      <c r="R51" s="140"/>
      <c r="S51" s="23"/>
      <c r="T51" s="23"/>
      <c r="U51" s="22"/>
    </row>
    <row r="52" spans="1:22" ht="13.15" customHeight="1" thickBot="1">
      <c r="A52" s="815" t="s">
        <v>137</v>
      </c>
      <c r="B52" s="815"/>
      <c r="C52" s="87" t="s">
        <v>75</v>
      </c>
      <c r="D52" s="87"/>
      <c r="E52" s="816" t="s">
        <v>76</v>
      </c>
      <c r="F52" s="816"/>
      <c r="G52" s="816"/>
      <c r="H52" s="817"/>
      <c r="I52" s="23"/>
      <c r="J52" s="165" t="s">
        <v>77</v>
      </c>
      <c r="K52" s="166" t="s">
        <v>78</v>
      </c>
      <c r="M52" s="87"/>
      <c r="O52" s="87"/>
      <c r="P52" s="167" t="s">
        <v>79</v>
      </c>
      <c r="Q52" s="168"/>
      <c r="R52" s="169"/>
      <c r="S52" s="170"/>
      <c r="T52" s="23"/>
      <c r="U52" s="171"/>
      <c r="V52" s="23"/>
    </row>
    <row r="53" spans="1:22" s="379" customFormat="1" ht="10.5">
      <c r="A53" s="376"/>
      <c r="B53" s="377">
        <v>30</v>
      </c>
      <c r="C53" s="378">
        <f>LOG10(B53)</f>
        <v>1.4771212547196624</v>
      </c>
      <c r="F53" s="380"/>
      <c r="G53" s="381" t="s">
        <v>80</v>
      </c>
      <c r="H53" s="381" t="s">
        <v>81</v>
      </c>
      <c r="J53" s="382">
        <v>350</v>
      </c>
      <c r="K53" s="378">
        <f t="shared" ref="K53:K83" si="11">LOG10(J53)</f>
        <v>2.5440680443502757</v>
      </c>
      <c r="O53" s="383"/>
      <c r="P53" s="381"/>
      <c r="Q53" s="381"/>
      <c r="R53" s="384" t="s">
        <v>80</v>
      </c>
      <c r="S53" s="381" t="s">
        <v>81</v>
      </c>
      <c r="U53" s="385"/>
    </row>
    <row r="54" spans="1:22" s="379" customFormat="1" ht="10.5">
      <c r="A54" s="376"/>
      <c r="B54" s="386">
        <v>35</v>
      </c>
      <c r="C54" s="378">
        <f t="shared" ref="C54:C77" si="12">LOG10(B54)</f>
        <v>1.5440680443502757</v>
      </c>
      <c r="E54" s="378">
        <f>+C53</f>
        <v>1.4771212547196624</v>
      </c>
      <c r="F54" s="387"/>
      <c r="G54" s="388">
        <f t="shared" ref="G54:G60" si="13">POWER(10,E54)</f>
        <v>30.000000000000004</v>
      </c>
      <c r="H54" s="383">
        <v>1</v>
      </c>
      <c r="J54" s="389">
        <v>370</v>
      </c>
      <c r="K54" s="378">
        <f t="shared" si="11"/>
        <v>2.568201724066995</v>
      </c>
      <c r="O54" s="378">
        <f>+K53</f>
        <v>2.5440680443502757</v>
      </c>
      <c r="P54" s="390"/>
      <c r="Q54" s="390"/>
      <c r="R54" s="391">
        <f t="shared" ref="R54:R63" si="14">POWER(10,O54)</f>
        <v>350.00000000000017</v>
      </c>
      <c r="S54" s="383">
        <v>1</v>
      </c>
      <c r="U54" s="392"/>
    </row>
    <row r="55" spans="1:22" s="379" customFormat="1" ht="10.5">
      <c r="B55" s="393">
        <v>61</v>
      </c>
      <c r="C55" s="378">
        <f t="shared" si="12"/>
        <v>1.7853298350107671</v>
      </c>
      <c r="E55" s="378">
        <f t="shared" ref="E55:E64" si="15">+E54+$C$84</f>
        <v>1.7072387283565795</v>
      </c>
      <c r="F55" s="394"/>
      <c r="G55" s="388">
        <f t="shared" si="13"/>
        <v>50.961092330748883</v>
      </c>
      <c r="H55" s="383">
        <v>2</v>
      </c>
      <c r="J55" s="393">
        <v>502</v>
      </c>
      <c r="K55" s="378">
        <f t="shared" si="11"/>
        <v>2.7007037171450192</v>
      </c>
      <c r="O55" s="378">
        <f t="shared" ref="O55:O64" si="16">+O54+$J$84</f>
        <v>2.8401349601614987</v>
      </c>
      <c r="P55" s="383"/>
      <c r="Q55" s="383"/>
      <c r="R55" s="391">
        <f t="shared" si="14"/>
        <v>692.04599582162973</v>
      </c>
      <c r="S55" s="383">
        <v>2</v>
      </c>
      <c r="U55" s="392"/>
    </row>
    <row r="56" spans="1:22" s="379" customFormat="1" ht="10.5">
      <c r="B56" s="393">
        <v>65</v>
      </c>
      <c r="C56" s="378">
        <f t="shared" si="12"/>
        <v>1.8129133566428555</v>
      </c>
      <c r="E56" s="378">
        <f t="shared" si="15"/>
        <v>1.9373562019934967</v>
      </c>
      <c r="F56" s="394"/>
      <c r="G56" s="388">
        <f t="shared" si="13"/>
        <v>86.567764384770385</v>
      </c>
      <c r="H56" s="383">
        <v>3</v>
      </c>
      <c r="J56" s="393">
        <v>930</v>
      </c>
      <c r="K56" s="378">
        <f t="shared" si="11"/>
        <v>2.9684829485539352</v>
      </c>
      <c r="O56" s="378">
        <f t="shared" si="16"/>
        <v>3.1362018759727217</v>
      </c>
      <c r="P56" s="383"/>
      <c r="Q56" s="383"/>
      <c r="R56" s="391">
        <f t="shared" si="14"/>
        <v>1368.3647438078597</v>
      </c>
      <c r="S56" s="383">
        <v>3</v>
      </c>
      <c r="U56" s="392"/>
    </row>
    <row r="57" spans="1:22" s="379" customFormat="1" ht="10.5">
      <c r="B57" s="393">
        <v>75</v>
      </c>
      <c r="C57" s="378">
        <f t="shared" si="12"/>
        <v>1.8750612633917001</v>
      </c>
      <c r="E57" s="378">
        <f t="shared" si="15"/>
        <v>2.167473675630414</v>
      </c>
      <c r="F57" s="387"/>
      <c r="G57" s="388">
        <f t="shared" si="13"/>
        <v>147.05292778929334</v>
      </c>
      <c r="H57" s="383">
        <v>4</v>
      </c>
      <c r="J57" s="393">
        <v>1388</v>
      </c>
      <c r="K57" s="378">
        <f t="shared" si="11"/>
        <v>3.1423894661188361</v>
      </c>
      <c r="O57" s="378">
        <f t="shared" si="16"/>
        <v>3.4322687917839447</v>
      </c>
      <c r="P57" s="383"/>
      <c r="Q57" s="383"/>
      <c r="R57" s="391">
        <f t="shared" si="14"/>
        <v>2705.6324050734829</v>
      </c>
      <c r="S57" s="383">
        <v>4</v>
      </c>
      <c r="U57" s="392"/>
    </row>
    <row r="58" spans="1:22" s="379" customFormat="1" ht="10.5">
      <c r="B58" s="393">
        <v>82</v>
      </c>
      <c r="C58" s="378">
        <f t="shared" si="12"/>
        <v>1.9138138523837167</v>
      </c>
      <c r="E58" s="378">
        <f t="shared" si="15"/>
        <v>2.3975911492673312</v>
      </c>
      <c r="F58" s="395"/>
      <c r="G58" s="388">
        <f t="shared" si="13"/>
        <v>249.79926101923741</v>
      </c>
      <c r="H58" s="383">
        <v>5</v>
      </c>
      <c r="J58" s="393">
        <v>1526</v>
      </c>
      <c r="K58" s="378">
        <f t="shared" si="11"/>
        <v>3.1835545336188615</v>
      </c>
      <c r="O58" s="378">
        <f t="shared" si="16"/>
        <v>3.7283357075951677</v>
      </c>
      <c r="P58" s="390"/>
      <c r="Q58" s="390"/>
      <c r="R58" s="391">
        <f t="shared" si="14"/>
        <v>5349.7773488467101</v>
      </c>
      <c r="S58" s="383">
        <v>5</v>
      </c>
      <c r="U58" s="392"/>
    </row>
    <row r="59" spans="1:22" s="379" customFormat="1" ht="10.5">
      <c r="B59" s="386">
        <v>93</v>
      </c>
      <c r="C59" s="378">
        <f t="shared" si="12"/>
        <v>1.968482948553935</v>
      </c>
      <c r="E59" s="378">
        <f t="shared" si="15"/>
        <v>2.6277086229042483</v>
      </c>
      <c r="F59" s="394"/>
      <c r="G59" s="388">
        <f t="shared" si="13"/>
        <v>424.334773498473</v>
      </c>
      <c r="H59" s="383">
        <v>6</v>
      </c>
      <c r="J59" s="393">
        <v>2400</v>
      </c>
      <c r="K59" s="378">
        <f t="shared" si="11"/>
        <v>3.3802112417116059</v>
      </c>
      <c r="O59" s="378">
        <f t="shared" si="16"/>
        <v>4.0244026234063908</v>
      </c>
      <c r="P59" s="383"/>
      <c r="Q59" s="383"/>
      <c r="R59" s="391">
        <f t="shared" si="14"/>
        <v>10577.977122304632</v>
      </c>
      <c r="S59" s="383">
        <v>6</v>
      </c>
      <c r="U59" s="392"/>
    </row>
    <row r="60" spans="1:22" s="379" customFormat="1" ht="10.5">
      <c r="B60" s="393">
        <v>137</v>
      </c>
      <c r="C60" s="378">
        <f t="shared" si="12"/>
        <v>2.1367205671564067</v>
      </c>
      <c r="E60" s="378">
        <f t="shared" si="15"/>
        <v>2.8578260965411655</v>
      </c>
      <c r="F60" s="394"/>
      <c r="G60" s="388">
        <f t="shared" si="13"/>
        <v>720.81878571343623</v>
      </c>
      <c r="H60" s="383">
        <v>7</v>
      </c>
      <c r="J60" s="393">
        <v>2858</v>
      </c>
      <c r="K60" s="378">
        <f t="shared" si="11"/>
        <v>3.4560622244549513</v>
      </c>
      <c r="O60" s="378">
        <f t="shared" si="16"/>
        <v>4.3204695392176138</v>
      </c>
      <c r="P60" s="383"/>
      <c r="Q60" s="383"/>
      <c r="R60" s="391">
        <f t="shared" si="14"/>
        <v>20915.5620325249</v>
      </c>
      <c r="S60" s="383">
        <v>7</v>
      </c>
      <c r="U60" s="392"/>
    </row>
    <row r="61" spans="1:22" s="379" customFormat="1" ht="10.5">
      <c r="B61" s="393">
        <v>142</v>
      </c>
      <c r="C61" s="378">
        <f t="shared" si="12"/>
        <v>2.1522883443830563</v>
      </c>
      <c r="E61" s="378">
        <f t="shared" si="15"/>
        <v>3.0879435701780826</v>
      </c>
      <c r="F61" s="811">
        <f>POWER(10,E61)</f>
        <v>1224.4570897493566</v>
      </c>
      <c r="G61" s="811"/>
      <c r="H61" s="383">
        <v>8</v>
      </c>
      <c r="J61" s="393">
        <v>2993</v>
      </c>
      <c r="K61" s="378">
        <f t="shared" si="11"/>
        <v>3.4761067168401913</v>
      </c>
      <c r="O61" s="378">
        <f t="shared" si="16"/>
        <v>4.6165364550288368</v>
      </c>
      <c r="P61" s="383"/>
      <c r="Q61" s="383"/>
      <c r="R61" s="391">
        <f t="shared" si="14"/>
        <v>41355.802728479342</v>
      </c>
      <c r="S61" s="383">
        <v>8</v>
      </c>
      <c r="U61" s="392"/>
    </row>
    <row r="62" spans="1:22" s="379" customFormat="1" ht="10.5">
      <c r="B62" s="393">
        <v>153</v>
      </c>
      <c r="C62" s="378">
        <f t="shared" si="12"/>
        <v>2.1846914308175989</v>
      </c>
      <c r="E62" s="378">
        <f t="shared" si="15"/>
        <v>3.3180610438149998</v>
      </c>
      <c r="F62" s="811">
        <f>POWER(10,E62)</f>
        <v>2079.9890268585668</v>
      </c>
      <c r="G62" s="811"/>
      <c r="H62" s="383">
        <v>9</v>
      </c>
      <c r="J62" s="393">
        <v>4767</v>
      </c>
      <c r="K62" s="378">
        <f t="shared" si="11"/>
        <v>3.678245151927042</v>
      </c>
      <c r="O62" s="378">
        <f t="shared" si="16"/>
        <v>4.9126033708400598</v>
      </c>
      <c r="P62" s="383"/>
      <c r="Q62" s="383"/>
      <c r="R62" s="391">
        <f t="shared" si="14"/>
        <v>81771.764806380917</v>
      </c>
      <c r="S62" s="383">
        <v>9</v>
      </c>
      <c r="U62" s="392"/>
    </row>
    <row r="63" spans="1:22" s="379" customFormat="1" ht="10.5">
      <c r="B63" s="393">
        <v>177</v>
      </c>
      <c r="C63" s="378">
        <f t="shared" si="12"/>
        <v>2.2479732663618068</v>
      </c>
      <c r="E63" s="378">
        <f t="shared" si="15"/>
        <v>3.5481785174519169</v>
      </c>
      <c r="F63" s="811">
        <f>POWER(10,E63)</f>
        <v>3533.2837614894661</v>
      </c>
      <c r="G63" s="811"/>
      <c r="H63" s="383">
        <v>10</v>
      </c>
      <c r="J63" s="393">
        <v>6042</v>
      </c>
      <c r="K63" s="378">
        <f t="shared" si="11"/>
        <v>3.7811807209372614</v>
      </c>
      <c r="O63" s="378">
        <f t="shared" si="16"/>
        <v>5.2086702866512828</v>
      </c>
      <c r="P63" s="383"/>
      <c r="Q63" s="383"/>
      <c r="R63" s="391">
        <f t="shared" si="14"/>
        <v>161685.20687292569</v>
      </c>
      <c r="S63" s="383">
        <v>10</v>
      </c>
      <c r="U63" s="392"/>
    </row>
    <row r="64" spans="1:22" s="379" customFormat="1" ht="10.5">
      <c r="B64" s="393">
        <v>185</v>
      </c>
      <c r="C64" s="378">
        <f t="shared" si="12"/>
        <v>2.2671717284030137</v>
      </c>
      <c r="E64" s="378">
        <f t="shared" si="15"/>
        <v>3.7782959910888341</v>
      </c>
      <c r="F64" s="811">
        <f>POWER(10,E64)</f>
        <v>6002.00000000001</v>
      </c>
      <c r="G64" s="811"/>
      <c r="H64" s="383">
        <v>10</v>
      </c>
      <c r="J64" s="393">
        <v>10663</v>
      </c>
      <c r="K64" s="378">
        <f t="shared" si="11"/>
        <v>4.0278794092072072</v>
      </c>
      <c r="M64" s="378"/>
      <c r="O64" s="378">
        <f t="shared" si="16"/>
        <v>5.5047372024625059</v>
      </c>
      <c r="R64" s="396">
        <f>POWER(10,O64)</f>
        <v>319695.99999999977</v>
      </c>
      <c r="S64" s="383">
        <v>10</v>
      </c>
      <c r="U64" s="392"/>
    </row>
    <row r="65" spans="1:22" s="379" customFormat="1" ht="10.5">
      <c r="B65" s="393">
        <v>234</v>
      </c>
      <c r="C65" s="378">
        <f t="shared" si="12"/>
        <v>2.369215857410143</v>
      </c>
      <c r="D65" s="378"/>
      <c r="F65" s="397"/>
      <c r="G65" s="383"/>
      <c r="H65" s="383"/>
      <c r="I65" s="383"/>
      <c r="J65" s="393">
        <v>11753</v>
      </c>
      <c r="K65" s="378">
        <f t="shared" si="11"/>
        <v>4.0701487361523059</v>
      </c>
      <c r="M65" s="378"/>
      <c r="O65" s="383"/>
      <c r="P65" s="383"/>
      <c r="Q65" s="383"/>
      <c r="R65" s="398"/>
      <c r="S65" s="399"/>
      <c r="U65" s="400"/>
    </row>
    <row r="66" spans="1:22" s="379" customFormat="1" ht="10.5">
      <c r="B66" s="393">
        <v>269</v>
      </c>
      <c r="C66" s="378">
        <f t="shared" si="12"/>
        <v>2.4297522800024081</v>
      </c>
      <c r="D66" s="378"/>
      <c r="F66" s="397"/>
      <c r="G66" s="383"/>
      <c r="H66" s="383"/>
      <c r="I66" s="383"/>
      <c r="J66" s="393">
        <v>15228</v>
      </c>
      <c r="K66" s="378">
        <f t="shared" si="11"/>
        <v>4.18264286814233</v>
      </c>
      <c r="M66" s="378"/>
      <c r="O66" s="383"/>
      <c r="P66" s="383"/>
      <c r="Q66" s="383"/>
      <c r="R66" s="398"/>
      <c r="S66" s="399"/>
      <c r="U66" s="400"/>
    </row>
    <row r="67" spans="1:22" s="379" customFormat="1" ht="10.5">
      <c r="B67" s="393">
        <v>305</v>
      </c>
      <c r="C67" s="378">
        <f t="shared" si="12"/>
        <v>2.4842998393467859</v>
      </c>
      <c r="D67" s="378"/>
      <c r="F67" s="397"/>
      <c r="G67" s="383"/>
      <c r="H67" s="383"/>
      <c r="I67" s="383"/>
      <c r="J67" s="393">
        <v>15862</v>
      </c>
      <c r="K67" s="378">
        <f t="shared" si="11"/>
        <v>4.2003579455416356</v>
      </c>
      <c r="M67" s="378"/>
      <c r="O67" s="383"/>
      <c r="P67" s="383"/>
      <c r="Q67" s="383"/>
      <c r="R67" s="398"/>
      <c r="S67" s="399"/>
      <c r="U67" s="400"/>
    </row>
    <row r="68" spans="1:22" s="379" customFormat="1" ht="10.5">
      <c r="B68" s="393">
        <v>320</v>
      </c>
      <c r="C68" s="378">
        <f t="shared" si="12"/>
        <v>2.5051499783199058</v>
      </c>
      <c r="D68" s="378"/>
      <c r="F68" s="397"/>
      <c r="G68" s="383"/>
      <c r="H68" s="383"/>
      <c r="I68" s="383"/>
      <c r="J68" s="393">
        <v>18737</v>
      </c>
      <c r="K68" s="378">
        <f t="shared" si="11"/>
        <v>4.2727000567895859</v>
      </c>
      <c r="M68" s="378"/>
      <c r="O68" s="383"/>
      <c r="P68" s="383"/>
      <c r="Q68" s="383"/>
      <c r="R68" s="398"/>
      <c r="S68" s="399"/>
      <c r="U68" s="400"/>
      <c r="V68" s="401"/>
    </row>
    <row r="69" spans="1:22" s="379" customFormat="1" ht="10.5">
      <c r="B69" s="393">
        <v>338</v>
      </c>
      <c r="C69" s="378">
        <f t="shared" si="12"/>
        <v>2.5289167002776547</v>
      </c>
      <c r="D69" s="378"/>
      <c r="F69" s="397"/>
      <c r="G69" s="383"/>
      <c r="H69" s="383"/>
      <c r="I69" s="383"/>
      <c r="J69" s="393">
        <v>19497</v>
      </c>
      <c r="K69" s="378">
        <f t="shared" si="11"/>
        <v>4.2899677916867338</v>
      </c>
      <c r="M69" s="378"/>
      <c r="O69" s="383"/>
      <c r="P69" s="383"/>
      <c r="Q69" s="383"/>
      <c r="R69" s="398"/>
      <c r="S69" s="399"/>
      <c r="U69" s="400"/>
      <c r="V69" s="401"/>
    </row>
    <row r="70" spans="1:22" s="379" customFormat="1" ht="10.5">
      <c r="B70" s="393">
        <v>345</v>
      </c>
      <c r="C70" s="378">
        <f t="shared" si="12"/>
        <v>2.537819095073274</v>
      </c>
      <c r="D70" s="378"/>
      <c r="F70" s="397"/>
      <c r="G70" s="383"/>
      <c r="H70" s="383"/>
      <c r="I70" s="383"/>
      <c r="J70" s="393">
        <v>19549</v>
      </c>
      <c r="K70" s="378">
        <f t="shared" si="11"/>
        <v>4.291124546612215</v>
      </c>
      <c r="M70" s="378"/>
      <c r="O70" s="383"/>
      <c r="P70" s="383"/>
      <c r="Q70" s="383"/>
      <c r="R70" s="398"/>
      <c r="S70" s="399"/>
      <c r="U70" s="400"/>
      <c r="V70" s="401"/>
    </row>
    <row r="71" spans="1:22" s="379" customFormat="1" ht="10.5">
      <c r="A71" s="376"/>
      <c r="B71" s="393">
        <v>347</v>
      </c>
      <c r="C71" s="378">
        <f t="shared" si="12"/>
        <v>2.5403294747908736</v>
      </c>
      <c r="D71" s="378"/>
      <c r="F71" s="397"/>
      <c r="G71" s="383"/>
      <c r="H71" s="383"/>
      <c r="I71" s="383"/>
      <c r="J71" s="393">
        <v>25692</v>
      </c>
      <c r="K71" s="378">
        <f t="shared" si="11"/>
        <v>4.4097979133420635</v>
      </c>
      <c r="M71" s="378"/>
      <c r="O71" s="383"/>
      <c r="P71" s="383"/>
      <c r="Q71" s="383"/>
      <c r="R71" s="398"/>
      <c r="S71" s="399"/>
      <c r="U71" s="400"/>
      <c r="V71" s="401"/>
    </row>
    <row r="72" spans="1:22" s="379" customFormat="1" ht="10.5">
      <c r="A72" s="376"/>
      <c r="B72" s="393">
        <v>379</v>
      </c>
      <c r="C72" s="378">
        <f t="shared" si="12"/>
        <v>2.5786392099680722</v>
      </c>
      <c r="D72" s="378"/>
      <c r="F72" s="397"/>
      <c r="G72" s="383"/>
      <c r="H72" s="383"/>
      <c r="I72" s="383"/>
      <c r="J72" s="393">
        <v>28949</v>
      </c>
      <c r="K72" s="378">
        <f t="shared" si="11"/>
        <v>4.4616335662678477</v>
      </c>
      <c r="M72" s="378"/>
      <c r="O72" s="383"/>
      <c r="P72" s="383"/>
      <c r="Q72" s="383"/>
      <c r="R72" s="398"/>
      <c r="S72" s="399"/>
      <c r="U72" s="400"/>
      <c r="V72" s="401"/>
    </row>
    <row r="73" spans="1:22" s="379" customFormat="1" ht="10.5">
      <c r="A73" s="376"/>
      <c r="B73" s="393">
        <v>384</v>
      </c>
      <c r="C73" s="378">
        <f t="shared" si="12"/>
        <v>2.5843312243675309</v>
      </c>
      <c r="D73" s="378"/>
      <c r="F73" s="397"/>
      <c r="G73" s="383"/>
      <c r="H73" s="383"/>
      <c r="I73" s="383"/>
      <c r="J73" s="386">
        <v>29505</v>
      </c>
      <c r="K73" s="378">
        <f t="shared" si="11"/>
        <v>4.4698956189750181</v>
      </c>
      <c r="M73" s="378"/>
      <c r="O73" s="383"/>
      <c r="P73" s="383"/>
      <c r="Q73" s="383"/>
      <c r="R73" s="398"/>
      <c r="S73" s="399"/>
      <c r="U73" s="400"/>
      <c r="V73" s="401"/>
    </row>
    <row r="74" spans="1:22" s="379" customFormat="1" ht="10.5">
      <c r="A74" s="376"/>
      <c r="B74" s="393">
        <v>517</v>
      </c>
      <c r="C74" s="378">
        <f t="shared" si="12"/>
        <v>2.7134905430939424</v>
      </c>
      <c r="D74" s="378"/>
      <c r="F74" s="397"/>
      <c r="G74" s="383"/>
      <c r="H74" s="383"/>
      <c r="I74" s="383"/>
      <c r="J74" s="393">
        <v>35003</v>
      </c>
      <c r="K74" s="378">
        <f t="shared" si="11"/>
        <v>4.5441052679963052</v>
      </c>
      <c r="M74" s="378"/>
      <c r="O74" s="383"/>
      <c r="P74" s="402"/>
      <c r="Q74" s="402"/>
      <c r="R74" s="403"/>
      <c r="S74" s="399"/>
      <c r="U74" s="400"/>
      <c r="V74" s="401"/>
    </row>
    <row r="75" spans="1:22" s="379" customFormat="1" ht="10.5">
      <c r="A75" s="376"/>
      <c r="B75" s="393">
        <v>579</v>
      </c>
      <c r="C75" s="378">
        <f t="shared" si="12"/>
        <v>2.762678563727436</v>
      </c>
      <c r="D75" s="378"/>
      <c r="F75" s="397"/>
      <c r="G75" s="383"/>
      <c r="H75" s="383"/>
      <c r="I75" s="383"/>
      <c r="J75" s="393">
        <v>41418</v>
      </c>
      <c r="K75" s="378">
        <f t="shared" si="11"/>
        <v>4.6171891237719498</v>
      </c>
      <c r="M75" s="378"/>
      <c r="O75" s="383"/>
      <c r="P75" s="402"/>
      <c r="Q75" s="402"/>
      <c r="R75" s="403"/>
      <c r="S75" s="399"/>
      <c r="U75" s="400"/>
      <c r="V75" s="401"/>
    </row>
    <row r="76" spans="1:22" s="379" customFormat="1" ht="10.5">
      <c r="A76" s="376"/>
      <c r="B76" s="393">
        <v>696</v>
      </c>
      <c r="C76" s="378">
        <f t="shared" si="12"/>
        <v>2.842609239610562</v>
      </c>
      <c r="D76" s="378"/>
      <c r="F76" s="397"/>
      <c r="G76" s="383"/>
      <c r="H76" s="383"/>
      <c r="I76" s="383"/>
      <c r="J76" s="393">
        <v>46581</v>
      </c>
      <c r="K76" s="378">
        <f t="shared" si="11"/>
        <v>4.6682088077242128</v>
      </c>
      <c r="M76" s="378"/>
      <c r="O76" s="383"/>
      <c r="P76" s="402"/>
      <c r="Q76" s="402"/>
      <c r="R76" s="403"/>
      <c r="S76" s="399"/>
      <c r="U76" s="400"/>
      <c r="V76" s="401"/>
    </row>
    <row r="77" spans="1:22" s="379" customFormat="1" ht="10.5">
      <c r="A77" s="376"/>
      <c r="B77" s="393">
        <v>835</v>
      </c>
      <c r="C77" s="378">
        <f t="shared" si="12"/>
        <v>2.9216864754836021</v>
      </c>
      <c r="D77" s="378"/>
      <c r="F77" s="397"/>
      <c r="G77" s="383"/>
      <c r="H77" s="383"/>
      <c r="I77" s="383"/>
      <c r="J77" s="393">
        <v>53914</v>
      </c>
      <c r="K77" s="378">
        <f t="shared" si="11"/>
        <v>4.7317015543009688</v>
      </c>
      <c r="M77" s="378"/>
      <c r="O77" s="383"/>
      <c r="P77" s="402"/>
      <c r="Q77" s="402"/>
      <c r="R77" s="403"/>
      <c r="S77" s="399"/>
      <c r="U77" s="400"/>
      <c r="V77" s="401"/>
    </row>
    <row r="78" spans="1:22" s="379" customFormat="1" ht="14.5" customHeight="1">
      <c r="A78" s="820">
        <v>1221</v>
      </c>
      <c r="B78" s="821"/>
      <c r="C78" s="378">
        <f t="shared" ref="C78:C83" si="17">LOG10(A78)</f>
        <v>3.0867156639448825</v>
      </c>
      <c r="D78" s="378"/>
      <c r="F78" s="397"/>
      <c r="G78" s="383"/>
      <c r="H78" s="383"/>
      <c r="I78" s="383"/>
      <c r="J78" s="393">
        <v>57881</v>
      </c>
      <c r="K78" s="378">
        <f t="shared" si="11"/>
        <v>4.7625360257422704</v>
      </c>
      <c r="M78" s="378"/>
      <c r="O78" s="383"/>
      <c r="P78" s="402"/>
      <c r="Q78" s="402"/>
      <c r="R78" s="403"/>
      <c r="S78" s="399"/>
      <c r="U78" s="400"/>
      <c r="V78" s="401"/>
    </row>
    <row r="79" spans="1:22" s="379" customFormat="1" ht="14.5" customHeight="1">
      <c r="A79" s="820">
        <v>1449</v>
      </c>
      <c r="B79" s="821"/>
      <c r="C79" s="378">
        <f t="shared" si="17"/>
        <v>3.1610683854711747</v>
      </c>
      <c r="D79" s="378"/>
      <c r="F79" s="397"/>
      <c r="G79" s="383"/>
      <c r="H79" s="383"/>
      <c r="I79" s="383"/>
      <c r="J79" s="393">
        <v>79253</v>
      </c>
      <c r="K79" s="378">
        <f t="shared" si="11"/>
        <v>4.8990157107482881</v>
      </c>
      <c r="M79" s="378"/>
      <c r="O79" s="383"/>
      <c r="P79" s="402"/>
      <c r="Q79" s="402"/>
      <c r="R79" s="403"/>
      <c r="S79" s="399"/>
      <c r="U79" s="400"/>
      <c r="V79" s="401"/>
    </row>
    <row r="80" spans="1:22" s="379" customFormat="1" ht="14.5" customHeight="1">
      <c r="A80" s="820">
        <v>1540</v>
      </c>
      <c r="B80" s="821"/>
      <c r="C80" s="378">
        <f t="shared" si="17"/>
        <v>3.1875207208364631</v>
      </c>
      <c r="D80" s="378"/>
      <c r="F80" s="397"/>
      <c r="G80" s="383"/>
      <c r="H80" s="383"/>
      <c r="I80" s="383"/>
      <c r="J80" s="393">
        <v>80640</v>
      </c>
      <c r="K80" s="378">
        <f t="shared" si="11"/>
        <v>4.90655051910145</v>
      </c>
      <c r="M80" s="378"/>
      <c r="O80" s="383"/>
      <c r="P80" s="402"/>
      <c r="Q80" s="402"/>
      <c r="R80" s="403"/>
      <c r="S80" s="399"/>
      <c r="U80" s="400"/>
      <c r="V80" s="401"/>
    </row>
    <row r="81" spans="1:22" s="379" customFormat="1" ht="14.5" customHeight="1">
      <c r="A81" s="820">
        <v>1773</v>
      </c>
      <c r="B81" s="821"/>
      <c r="C81" s="404">
        <f t="shared" si="17"/>
        <v>3.2487087356009177</v>
      </c>
      <c r="D81" s="378"/>
      <c r="F81" s="397"/>
      <c r="G81" s="383"/>
      <c r="H81" s="383"/>
      <c r="I81" s="383"/>
      <c r="J81" s="386">
        <v>82753</v>
      </c>
      <c r="K81" s="378">
        <f t="shared" si="11"/>
        <v>4.9177837469774124</v>
      </c>
      <c r="M81" s="378"/>
      <c r="O81" s="383"/>
      <c r="P81" s="402"/>
      <c r="Q81" s="402"/>
      <c r="R81" s="403"/>
      <c r="S81" s="399"/>
      <c r="U81" s="400"/>
      <c r="V81" s="401"/>
    </row>
    <row r="82" spans="1:22" s="379" customFormat="1" ht="14.5" customHeight="1">
      <c r="A82" s="820">
        <v>2016</v>
      </c>
      <c r="B82" s="821"/>
      <c r="C82" s="404">
        <f t="shared" si="17"/>
        <v>3.3044905277734875</v>
      </c>
      <c r="F82" s="397"/>
      <c r="G82" s="383"/>
      <c r="H82" s="383"/>
      <c r="I82" s="383"/>
      <c r="J82" s="393">
        <v>219468</v>
      </c>
      <c r="K82" s="378">
        <f t="shared" si="11"/>
        <v>5.3413712059606304</v>
      </c>
      <c r="M82" s="383"/>
      <c r="O82" s="383"/>
      <c r="P82" s="402"/>
      <c r="Q82" s="402"/>
      <c r="R82" s="403"/>
      <c r="S82" s="399"/>
      <c r="U82" s="400"/>
      <c r="V82" s="401"/>
    </row>
    <row r="83" spans="1:22" s="376" customFormat="1" ht="15" customHeight="1" thickBot="1">
      <c r="A83" s="820">
        <v>6002</v>
      </c>
      <c r="B83" s="821"/>
      <c r="C83" s="404">
        <f t="shared" si="17"/>
        <v>3.7782959910888336</v>
      </c>
      <c r="D83" s="431"/>
      <c r="E83" s="405"/>
      <c r="F83" s="432"/>
      <c r="H83" s="398"/>
      <c r="I83" s="398"/>
      <c r="J83" s="433">
        <v>319696</v>
      </c>
      <c r="K83" s="378">
        <f t="shared" si="11"/>
        <v>5.5047372024625068</v>
      </c>
      <c r="M83" s="431"/>
      <c r="N83" s="405"/>
      <c r="P83" s="398"/>
      <c r="Q83" s="398"/>
      <c r="R83" s="407"/>
      <c r="S83" s="407"/>
      <c r="T83" s="408"/>
      <c r="U83" s="409"/>
      <c r="V83" s="410"/>
    </row>
    <row r="84" spans="1:22" ht="14.5" customHeight="1">
      <c r="C84" s="174">
        <f>+(C83-C53)/10</f>
        <v>0.23011747363691715</v>
      </c>
      <c r="D84" s="175" t="s">
        <v>136</v>
      </c>
      <c r="J84" s="819">
        <f>+(K83-K53)/10</f>
        <v>0.29606691581122313</v>
      </c>
      <c r="K84" s="819"/>
      <c r="L84" s="175" t="s">
        <v>136</v>
      </c>
    </row>
    <row r="87" spans="1:22">
      <c r="A87" s="23"/>
      <c r="F87" s="23"/>
      <c r="H87" s="23"/>
      <c r="I87" s="23"/>
      <c r="J87" s="23"/>
      <c r="P87" s="23"/>
      <c r="Q87" s="23"/>
      <c r="R87" s="23"/>
      <c r="S87" s="23"/>
      <c r="T87" s="23"/>
      <c r="U87" s="22"/>
      <c r="V87" s="23"/>
    </row>
    <row r="88" spans="1:22">
      <c r="A88" s="23"/>
      <c r="F88" s="23"/>
      <c r="H88" s="23"/>
      <c r="I88" s="23"/>
      <c r="J88" s="23"/>
      <c r="P88" s="23"/>
      <c r="Q88" s="23"/>
      <c r="R88" s="23"/>
      <c r="S88" s="23"/>
      <c r="T88" s="23"/>
      <c r="U88" s="22"/>
      <c r="V88" s="23"/>
    </row>
    <row r="89" spans="1:22">
      <c r="A89" s="23"/>
      <c r="F89" s="23"/>
      <c r="H89" s="23"/>
      <c r="I89" s="23"/>
      <c r="J89" s="23"/>
      <c r="P89" s="23"/>
      <c r="Q89" s="23"/>
      <c r="R89" s="23"/>
      <c r="S89" s="23"/>
      <c r="T89" s="23"/>
      <c r="U89" s="22"/>
      <c r="V89" s="23"/>
    </row>
    <row r="90" spans="1:22">
      <c r="A90" s="23"/>
      <c r="F90" s="23"/>
      <c r="H90" s="23"/>
      <c r="I90" s="23"/>
      <c r="J90" s="23"/>
      <c r="P90" s="23"/>
      <c r="Q90" s="23"/>
      <c r="R90" s="23"/>
      <c r="S90" s="23"/>
      <c r="T90" s="23"/>
      <c r="U90" s="22"/>
      <c r="V90" s="23"/>
    </row>
    <row r="91" spans="1:22">
      <c r="A91" s="23"/>
      <c r="F91" s="23"/>
      <c r="H91" s="23"/>
      <c r="I91" s="23"/>
      <c r="J91" s="23"/>
      <c r="P91" s="23"/>
      <c r="Q91" s="23"/>
      <c r="R91" s="23"/>
      <c r="S91" s="23"/>
      <c r="T91" s="23"/>
      <c r="U91" s="22"/>
      <c r="V91" s="23"/>
    </row>
    <row r="92" spans="1:22">
      <c r="A92" s="23"/>
      <c r="F92" s="23"/>
      <c r="H92" s="23"/>
      <c r="I92" s="23"/>
      <c r="J92" s="23"/>
      <c r="P92" s="23"/>
      <c r="Q92" s="23"/>
      <c r="R92" s="23"/>
      <c r="S92" s="23"/>
      <c r="T92" s="23"/>
      <c r="U92" s="22"/>
      <c r="V92" s="23"/>
    </row>
    <row r="93" spans="1:22">
      <c r="A93" s="23"/>
      <c r="F93" s="23"/>
      <c r="H93" s="23"/>
      <c r="I93" s="23"/>
      <c r="J93" s="23"/>
      <c r="P93" s="23"/>
      <c r="Q93" s="23"/>
      <c r="R93" s="23"/>
      <c r="S93" s="23"/>
      <c r="T93" s="23"/>
      <c r="U93" s="22"/>
      <c r="V93" s="23"/>
    </row>
    <row r="94" spans="1:22">
      <c r="A94" s="23"/>
      <c r="F94" s="23"/>
      <c r="H94" s="23"/>
      <c r="I94" s="23"/>
      <c r="J94" s="23"/>
      <c r="P94" s="23"/>
      <c r="Q94" s="23"/>
      <c r="R94" s="23"/>
      <c r="S94" s="23"/>
      <c r="T94" s="23"/>
      <c r="U94" s="22"/>
      <c r="V94" s="23"/>
    </row>
    <row r="95" spans="1:22">
      <c r="A95" s="23"/>
      <c r="F95" s="23"/>
      <c r="H95" s="23"/>
      <c r="I95" s="23"/>
      <c r="J95" s="23"/>
      <c r="P95" s="23"/>
      <c r="Q95" s="23"/>
      <c r="R95" s="23"/>
      <c r="S95" s="23"/>
      <c r="T95" s="23"/>
      <c r="U95" s="22"/>
      <c r="V95" s="23"/>
    </row>
    <row r="96" spans="1:22">
      <c r="A96" s="23"/>
      <c r="F96" s="23"/>
      <c r="H96" s="23"/>
      <c r="I96" s="23"/>
      <c r="J96" s="23"/>
      <c r="P96" s="23"/>
      <c r="Q96" s="23"/>
      <c r="R96" s="23"/>
      <c r="S96" s="23"/>
      <c r="T96" s="23"/>
      <c r="U96" s="22"/>
      <c r="V96" s="23"/>
    </row>
    <row r="97" spans="21:21" s="23" customFormat="1">
      <c r="U97" s="22"/>
    </row>
    <row r="98" spans="21:21" s="23" customFormat="1">
      <c r="U98" s="22"/>
    </row>
    <row r="99" spans="21:21" s="23" customFormat="1">
      <c r="U99" s="22"/>
    </row>
    <row r="100" spans="21:21" s="23" customFormat="1">
      <c r="U100" s="22"/>
    </row>
    <row r="101" spans="21:21" s="23" customFormat="1">
      <c r="U101" s="22"/>
    </row>
    <row r="102" spans="21:21" s="23" customFormat="1">
      <c r="U102" s="22"/>
    </row>
    <row r="103" spans="21:21" s="23" customFormat="1">
      <c r="U103" s="22"/>
    </row>
    <row r="104" spans="21:21" s="23" customFormat="1">
      <c r="U104" s="22"/>
    </row>
    <row r="105" spans="21:21" s="23" customFormat="1">
      <c r="U105" s="22"/>
    </row>
    <row r="106" spans="21:21" s="23" customFormat="1">
      <c r="U106" s="22"/>
    </row>
    <row r="107" spans="21:21" s="23" customFormat="1">
      <c r="U107" s="22"/>
    </row>
    <row r="108" spans="21:21" s="23" customFormat="1">
      <c r="U108" s="22"/>
    </row>
    <row r="109" spans="21:21" s="23" customFormat="1">
      <c r="U109" s="22"/>
    </row>
    <row r="110" spans="21:21" s="23" customFormat="1">
      <c r="U110" s="22"/>
    </row>
    <row r="111" spans="21:21" s="23" customFormat="1">
      <c r="U111" s="22"/>
    </row>
    <row r="112" spans="21:21" s="23" customFormat="1">
      <c r="U112" s="22"/>
    </row>
    <row r="113" spans="21:21" s="23" customFormat="1">
      <c r="U113" s="22"/>
    </row>
    <row r="114" spans="21:21" s="23" customFormat="1">
      <c r="U114" s="22"/>
    </row>
    <row r="115" spans="21:21" s="23" customFormat="1">
      <c r="U115" s="22"/>
    </row>
    <row r="116" spans="21:21" s="23" customFormat="1">
      <c r="U116" s="22"/>
    </row>
    <row r="117" spans="21:21" s="23" customFormat="1">
      <c r="U117" s="22"/>
    </row>
    <row r="118" spans="21:21" s="23" customFormat="1">
      <c r="U118" s="22"/>
    </row>
    <row r="119" spans="21:21" s="23" customFormat="1">
      <c r="U119" s="22"/>
    </row>
    <row r="120" spans="21:21" s="23" customFormat="1">
      <c r="U120" s="22"/>
    </row>
    <row r="121" spans="21:21" s="23" customFormat="1">
      <c r="U121" s="22"/>
    </row>
    <row r="122" spans="21:21" s="23" customFormat="1">
      <c r="U122" s="22"/>
    </row>
    <row r="123" spans="21:21" s="23" customFormat="1">
      <c r="U123" s="22"/>
    </row>
    <row r="124" spans="21:21" s="23" customFormat="1">
      <c r="U124" s="22"/>
    </row>
    <row r="125" spans="21:21" s="23" customFormat="1">
      <c r="U125" s="22"/>
    </row>
    <row r="126" spans="21:21" s="23" customFormat="1">
      <c r="U126" s="22"/>
    </row>
    <row r="127" spans="21:21" s="23" customFormat="1">
      <c r="U127" s="22"/>
    </row>
    <row r="128" spans="21:21" s="23" customFormat="1">
      <c r="U128" s="22"/>
    </row>
    <row r="129" spans="21:21" s="23" customFormat="1">
      <c r="U129" s="22"/>
    </row>
    <row r="130" spans="21:21" s="23" customFormat="1">
      <c r="U130" s="22"/>
    </row>
    <row r="131" spans="21:21" s="23" customFormat="1">
      <c r="U131" s="22"/>
    </row>
    <row r="132" spans="21:21" s="23" customFormat="1">
      <c r="U132" s="22"/>
    </row>
    <row r="133" spans="21:21" s="23" customFormat="1">
      <c r="U133" s="22"/>
    </row>
    <row r="134" spans="21:21" s="23" customFormat="1">
      <c r="U134" s="22"/>
    </row>
    <row r="135" spans="21:21" s="23" customFormat="1">
      <c r="U135" s="22"/>
    </row>
    <row r="136" spans="21:21" s="23" customFormat="1">
      <c r="U136" s="22"/>
    </row>
    <row r="137" spans="21:21" s="23" customFormat="1">
      <c r="U137" s="22"/>
    </row>
    <row r="138" spans="21:21" s="23" customFormat="1">
      <c r="U138" s="22"/>
    </row>
    <row r="139" spans="21:21" s="23" customFormat="1">
      <c r="U139" s="22"/>
    </row>
    <row r="140" spans="21:21" s="23" customFormat="1">
      <c r="U140" s="22"/>
    </row>
    <row r="141" spans="21:21" s="23" customFormat="1">
      <c r="U141" s="22"/>
    </row>
    <row r="142" spans="21:21" s="23" customFormat="1">
      <c r="U142" s="22"/>
    </row>
    <row r="143" spans="21:21" s="23" customFormat="1">
      <c r="U143" s="22"/>
    </row>
    <row r="144" spans="21:21" s="23" customFormat="1">
      <c r="U144" s="22"/>
    </row>
    <row r="145" spans="21:21" s="23" customFormat="1">
      <c r="U145" s="22"/>
    </row>
    <row r="146" spans="21:21" s="23" customFormat="1">
      <c r="U146" s="22"/>
    </row>
    <row r="147" spans="21:21" s="23" customFormat="1">
      <c r="U147" s="22"/>
    </row>
    <row r="148" spans="21:21" s="23" customFormat="1">
      <c r="U148" s="22"/>
    </row>
    <row r="149" spans="21:21" s="23" customFormat="1">
      <c r="U149" s="22"/>
    </row>
    <row r="150" spans="21:21" s="23" customFormat="1">
      <c r="U150" s="22"/>
    </row>
    <row r="151" spans="21:21" s="23" customFormat="1">
      <c r="U151" s="22"/>
    </row>
    <row r="152" spans="21:21" s="23" customFormat="1">
      <c r="U152" s="22"/>
    </row>
    <row r="153" spans="21:21" s="23" customFormat="1">
      <c r="U153" s="22"/>
    </row>
    <row r="154" spans="21:21" s="23" customFormat="1">
      <c r="U154" s="22"/>
    </row>
    <row r="155" spans="21:21" s="23" customFormat="1">
      <c r="U155" s="22"/>
    </row>
    <row r="156" spans="21:21" s="23" customFormat="1">
      <c r="U156" s="22"/>
    </row>
    <row r="157" spans="21:21" s="23" customFormat="1">
      <c r="U157" s="22"/>
    </row>
    <row r="158" spans="21:21" s="23" customFormat="1">
      <c r="U158" s="22"/>
    </row>
    <row r="159" spans="21:21" s="23" customFormat="1">
      <c r="U159" s="22"/>
    </row>
    <row r="160" spans="21:21" s="23" customFormat="1">
      <c r="U160" s="22"/>
    </row>
    <row r="161" spans="21:21" s="23" customFormat="1">
      <c r="U161" s="22"/>
    </row>
    <row r="162" spans="21:21" s="23" customFormat="1">
      <c r="U162" s="22"/>
    </row>
    <row r="163" spans="21:21" s="23" customFormat="1">
      <c r="U163" s="22"/>
    </row>
    <row r="164" spans="21:21" s="23" customFormat="1">
      <c r="U164" s="22"/>
    </row>
    <row r="165" spans="21:21" s="23" customFormat="1">
      <c r="U165" s="22"/>
    </row>
    <row r="166" spans="21:21" s="23" customFormat="1">
      <c r="U166" s="22"/>
    </row>
    <row r="167" spans="21:21" s="23" customFormat="1">
      <c r="U167" s="22"/>
    </row>
    <row r="168" spans="21:21" s="23" customFormat="1">
      <c r="U168" s="22"/>
    </row>
    <row r="169" spans="21:21" s="23" customFormat="1">
      <c r="U169" s="22"/>
    </row>
    <row r="170" spans="21:21" s="23" customFormat="1">
      <c r="U170" s="22"/>
    </row>
    <row r="171" spans="21:21" s="23" customFormat="1">
      <c r="U171" s="22"/>
    </row>
    <row r="172" spans="21:21" s="23" customFormat="1">
      <c r="U172" s="22"/>
    </row>
    <row r="173" spans="21:21" s="23" customFormat="1">
      <c r="U173" s="22"/>
    </row>
    <row r="174" spans="21:21" s="23" customFormat="1">
      <c r="U174" s="22"/>
    </row>
    <row r="175" spans="21:21" s="23" customFormat="1">
      <c r="U175" s="22"/>
    </row>
    <row r="176" spans="21:21" s="23" customFormat="1">
      <c r="U176" s="22"/>
    </row>
    <row r="177" spans="21:21" s="23" customFormat="1">
      <c r="U177" s="22"/>
    </row>
    <row r="178" spans="21:21" s="23" customFormat="1">
      <c r="U178" s="22"/>
    </row>
    <row r="179" spans="21:21" s="23" customFormat="1">
      <c r="U179" s="22"/>
    </row>
    <row r="180" spans="21:21" s="23" customFormat="1">
      <c r="U180" s="22"/>
    </row>
    <row r="181" spans="21:21" s="23" customFormat="1">
      <c r="U181" s="22"/>
    </row>
    <row r="182" spans="21:21" s="23" customFormat="1">
      <c r="U182" s="22"/>
    </row>
    <row r="196" spans="8:22">
      <c r="H196" s="23"/>
      <c r="I196" s="23"/>
      <c r="J196" s="23"/>
      <c r="P196" s="23"/>
      <c r="Q196" s="23"/>
      <c r="R196" s="140"/>
      <c r="S196" s="23"/>
      <c r="T196" s="23"/>
      <c r="U196" s="22"/>
      <c r="V196" s="23"/>
    </row>
    <row r="197" spans="8:22">
      <c r="H197" s="23"/>
      <c r="I197" s="23"/>
      <c r="J197" s="23"/>
      <c r="P197" s="23"/>
      <c r="Q197" s="23"/>
      <c r="R197" s="140"/>
      <c r="S197" s="23"/>
      <c r="T197" s="23"/>
      <c r="U197" s="22"/>
      <c r="V197" s="23"/>
    </row>
    <row r="198" spans="8:22">
      <c r="H198" s="23"/>
      <c r="I198" s="23"/>
      <c r="J198" s="23"/>
      <c r="P198" s="23"/>
      <c r="Q198" s="23"/>
      <c r="R198" s="140"/>
      <c r="S198" s="23"/>
      <c r="T198" s="23"/>
      <c r="U198" s="22"/>
      <c r="V198" s="23"/>
    </row>
    <row r="199" spans="8:22">
      <c r="H199" s="23"/>
      <c r="I199" s="23"/>
      <c r="J199" s="23"/>
      <c r="P199" s="23"/>
      <c r="Q199" s="23"/>
      <c r="R199" s="140"/>
      <c r="S199" s="23"/>
      <c r="T199" s="23"/>
      <c r="U199" s="22"/>
      <c r="V199" s="23"/>
    </row>
  </sheetData>
  <mergeCells count="76">
    <mergeCell ref="J84:K84"/>
    <mergeCell ref="A83:B83"/>
    <mergeCell ref="A78:B78"/>
    <mergeCell ref="A79:B79"/>
    <mergeCell ref="A80:B80"/>
    <mergeCell ref="A81:B81"/>
    <mergeCell ref="A82:B82"/>
    <mergeCell ref="F64:G64"/>
    <mergeCell ref="A49:B49"/>
    <mergeCell ref="C49:D49"/>
    <mergeCell ref="E49:F49"/>
    <mergeCell ref="I49:M49"/>
    <mergeCell ref="A50:B50"/>
    <mergeCell ref="E50:F50"/>
    <mergeCell ref="A52:B52"/>
    <mergeCell ref="E52:H52"/>
    <mergeCell ref="F61:G61"/>
    <mergeCell ref="F62:G62"/>
    <mergeCell ref="F63:G63"/>
    <mergeCell ref="A47:B47"/>
    <mergeCell ref="C47:D47"/>
    <mergeCell ref="E47:F47"/>
    <mergeCell ref="A48:B48"/>
    <mergeCell ref="C48:D48"/>
    <mergeCell ref="E48:F48"/>
    <mergeCell ref="S44:T44"/>
    <mergeCell ref="B45:D45"/>
    <mergeCell ref="E45:F45"/>
    <mergeCell ref="A46:B46"/>
    <mergeCell ref="C46:D46"/>
    <mergeCell ref="E46:F46"/>
    <mergeCell ref="C42:D42"/>
    <mergeCell ref="E42:F42"/>
    <mergeCell ref="A43:D43"/>
    <mergeCell ref="E43:F43"/>
    <mergeCell ref="A44:B44"/>
    <mergeCell ref="C44:D44"/>
    <mergeCell ref="E44:F44"/>
    <mergeCell ref="O40:R40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8:D38"/>
    <mergeCell ref="O39:Q39"/>
    <mergeCell ref="C35:D35"/>
    <mergeCell ref="C36:D36"/>
    <mergeCell ref="C25:D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13:D13"/>
    <mergeCell ref="A2:P2"/>
    <mergeCell ref="A3:P3"/>
    <mergeCell ref="R3:T3"/>
    <mergeCell ref="R4:S4"/>
    <mergeCell ref="R5:S5"/>
    <mergeCell ref="C7:D7"/>
    <mergeCell ref="C8:D8"/>
    <mergeCell ref="C9:D9"/>
    <mergeCell ref="C10:D10"/>
    <mergeCell ref="C11:D11"/>
    <mergeCell ref="C12:D12"/>
  </mergeCells>
  <pageMargins left="3.937007874015748E-2" right="3.937007874015748E-2" top="0.55118110236220474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56"/>
  <sheetViews>
    <sheetView zoomScale="90" zoomScaleNormal="90" workbookViewId="0">
      <selection activeCell="W6" sqref="W6:W21"/>
    </sheetView>
  </sheetViews>
  <sheetFormatPr defaultColWidth="9.26953125" defaultRowHeight="11.5"/>
  <cols>
    <col min="1" max="1" width="3.1796875" style="23" customWidth="1"/>
    <col min="2" max="2" width="3.1796875" style="140" customWidth="1"/>
    <col min="3" max="3" width="11.453125" style="23" customWidth="1"/>
    <col min="4" max="4" width="4.1796875" style="141" customWidth="1"/>
    <col min="5" max="5" width="7" style="182" customWidth="1"/>
    <col min="6" max="6" width="6.26953125" style="182" customWidth="1"/>
    <col min="7" max="7" width="5.26953125" style="182" customWidth="1"/>
    <col min="8" max="8" width="5.1796875" style="182" customWidth="1"/>
    <col min="9" max="9" width="5.81640625" style="23" customWidth="1"/>
    <col min="10" max="10" width="3.54296875" style="23" customWidth="1"/>
    <col min="11" max="11" width="8.1796875" style="23" customWidth="1"/>
    <col min="12" max="12" width="7.453125" style="23" customWidth="1"/>
    <col min="13" max="13" width="7.81640625" style="141" customWidth="1"/>
    <col min="14" max="14" width="4.453125" style="23" customWidth="1"/>
    <col min="15" max="15" width="7.1796875" style="23" customWidth="1"/>
    <col min="16" max="16" width="6.26953125" style="23" customWidth="1"/>
    <col min="17" max="17" width="7.26953125" style="23" customWidth="1"/>
    <col min="18" max="18" width="6" style="23" customWidth="1"/>
    <col min="19" max="19" width="7.26953125" style="23" customWidth="1"/>
    <col min="20" max="20" width="7.26953125" style="183" customWidth="1"/>
    <col min="21" max="21" width="7" style="23" customWidth="1"/>
    <col min="22" max="22" width="5.1796875" style="23" customWidth="1"/>
    <col min="23" max="23" width="7.453125" style="141" customWidth="1"/>
    <col min="24" max="24" width="7.7265625" style="365" customWidth="1"/>
    <col min="25" max="25" width="9.26953125" style="22"/>
    <col min="26" max="16384" width="9.26953125" style="23"/>
  </cols>
  <sheetData>
    <row r="1" spans="1:25">
      <c r="A1" s="23" t="s">
        <v>266</v>
      </c>
      <c r="W1" s="20" t="s">
        <v>148</v>
      </c>
      <c r="X1" s="184"/>
    </row>
    <row r="2" spans="1:25" ht="13.5" customHeight="1" thickBot="1">
      <c r="A2" s="185"/>
      <c r="B2" s="186"/>
      <c r="C2" s="185"/>
      <c r="D2" s="187"/>
      <c r="E2" s="185"/>
      <c r="F2" s="185"/>
      <c r="G2" s="185"/>
      <c r="H2" s="185"/>
      <c r="I2" s="185"/>
      <c r="J2" s="185"/>
      <c r="K2" s="185"/>
      <c r="L2" s="185"/>
      <c r="M2" s="187"/>
      <c r="N2" s="185"/>
      <c r="O2" s="185"/>
      <c r="P2" s="185"/>
      <c r="Q2" s="185"/>
      <c r="R2" s="185"/>
      <c r="S2" s="185"/>
      <c r="T2" s="188"/>
      <c r="U2" s="766"/>
      <c r="V2" s="766"/>
      <c r="W2" s="767"/>
      <c r="X2" s="189"/>
    </row>
    <row r="3" spans="1:25" ht="12" thickBot="1">
      <c r="A3" s="190"/>
      <c r="B3" s="191"/>
      <c r="C3" s="192" t="s">
        <v>83</v>
      </c>
      <c r="D3" s="193" t="s">
        <v>1</v>
      </c>
      <c r="E3" s="194" t="s">
        <v>84</v>
      </c>
      <c r="F3" s="195" t="s">
        <v>85</v>
      </c>
      <c r="G3" s="768" t="s">
        <v>86</v>
      </c>
      <c r="H3" s="769"/>
      <c r="I3" s="196" t="s">
        <v>2</v>
      </c>
      <c r="J3" s="197"/>
      <c r="K3" s="196" t="s">
        <v>131</v>
      </c>
      <c r="L3" s="196"/>
      <c r="M3" s="198"/>
      <c r="N3" s="196"/>
      <c r="O3" s="199" t="s">
        <v>3</v>
      </c>
      <c r="P3" s="200" t="s">
        <v>4</v>
      </c>
      <c r="Q3" s="201" t="s">
        <v>5</v>
      </c>
      <c r="R3" s="202" t="s">
        <v>6</v>
      </c>
      <c r="S3" s="39" t="s">
        <v>133</v>
      </c>
      <c r="T3" s="40" t="s">
        <v>133</v>
      </c>
      <c r="U3" s="203"/>
      <c r="V3" s="204"/>
      <c r="W3" s="3" t="s">
        <v>7</v>
      </c>
      <c r="X3" s="4"/>
    </row>
    <row r="4" spans="1:25" s="56" customFormat="1" ht="58" thickBot="1">
      <c r="A4" s="47"/>
      <c r="B4" s="205" t="s">
        <v>8</v>
      </c>
      <c r="C4" s="52" t="s">
        <v>87</v>
      </c>
      <c r="D4" s="206" t="s">
        <v>88</v>
      </c>
      <c r="E4" s="207" t="s">
        <v>89</v>
      </c>
      <c r="F4" s="208" t="s">
        <v>90</v>
      </c>
      <c r="G4" s="209" t="s">
        <v>91</v>
      </c>
      <c r="H4" s="210" t="s">
        <v>92</v>
      </c>
      <c r="I4" s="211" t="s">
        <v>93</v>
      </c>
      <c r="J4" s="212" t="s">
        <v>94</v>
      </c>
      <c r="K4" s="213" t="s">
        <v>13</v>
      </c>
      <c r="L4" s="214" t="s">
        <v>95</v>
      </c>
      <c r="M4" s="215" t="s">
        <v>96</v>
      </c>
      <c r="N4" s="216" t="s">
        <v>94</v>
      </c>
      <c r="O4" s="217" t="s">
        <v>16</v>
      </c>
      <c r="P4" s="214" t="s">
        <v>17</v>
      </c>
      <c r="Q4" s="214" t="s">
        <v>97</v>
      </c>
      <c r="R4" s="218" t="s">
        <v>98</v>
      </c>
      <c r="S4" s="1" t="s">
        <v>99</v>
      </c>
      <c r="T4" s="219" t="s">
        <v>21</v>
      </c>
      <c r="U4" s="770" t="s">
        <v>132</v>
      </c>
      <c r="V4" s="770"/>
      <c r="W4" s="5" t="s">
        <v>100</v>
      </c>
      <c r="X4" s="6"/>
      <c r="Y4" s="55"/>
    </row>
    <row r="5" spans="1:25" s="237" customFormat="1" ht="17.25" customHeight="1" thickBot="1">
      <c r="A5" s="220">
        <f>SUM(A6:A30)</f>
        <v>16</v>
      </c>
      <c r="B5" s="221"/>
      <c r="C5" s="222" t="s">
        <v>24</v>
      </c>
      <c r="D5" s="223">
        <f t="shared" ref="D5:R5" si="0">SUM(D6:D21)</f>
        <v>237</v>
      </c>
      <c r="E5" s="633">
        <f t="shared" si="0"/>
        <v>140529</v>
      </c>
      <c r="F5" s="225">
        <f t="shared" si="0"/>
        <v>92853</v>
      </c>
      <c r="G5" s="226"/>
      <c r="H5" s="227"/>
      <c r="I5" s="634">
        <f t="shared" si="0"/>
        <v>20263</v>
      </c>
      <c r="J5" s="229">
        <f t="shared" si="0"/>
        <v>85</v>
      </c>
      <c r="K5" s="635">
        <f t="shared" si="0"/>
        <v>2299270</v>
      </c>
      <c r="L5" s="228">
        <f t="shared" si="0"/>
        <v>365132</v>
      </c>
      <c r="M5" s="634">
        <f t="shared" si="0"/>
        <v>1934138</v>
      </c>
      <c r="N5" s="223">
        <f t="shared" si="0"/>
        <v>86</v>
      </c>
      <c r="O5" s="8">
        <f t="shared" si="0"/>
        <v>112544</v>
      </c>
      <c r="P5" s="228">
        <f t="shared" si="0"/>
        <v>75030</v>
      </c>
      <c r="Q5" s="228">
        <f>SUM(Q6:Q21)</f>
        <v>131302.5</v>
      </c>
      <c r="R5" s="230">
        <f t="shared" si="0"/>
        <v>56272.500000000007</v>
      </c>
      <c r="S5" s="231">
        <f>SUM(S6:S21)</f>
        <v>375149</v>
      </c>
      <c r="T5" s="232">
        <f>SUM(T6:T21)</f>
        <v>379497</v>
      </c>
      <c r="U5" s="233">
        <f>+S5-W5</f>
        <v>20072</v>
      </c>
      <c r="V5" s="234">
        <f>+U5/W5*100</f>
        <v>5.6528583940948023</v>
      </c>
      <c r="W5" s="235">
        <f>SUM(W6:W21)</f>
        <v>355077</v>
      </c>
      <c r="X5" s="9"/>
      <c r="Y5" s="236"/>
    </row>
    <row r="6" spans="1:25" ht="14.15" customHeight="1">
      <c r="A6" s="238">
        <v>1</v>
      </c>
      <c r="B6" s="239">
        <v>1</v>
      </c>
      <c r="C6" s="240" t="s">
        <v>101</v>
      </c>
      <c r="D6" s="241">
        <v>20</v>
      </c>
      <c r="E6" s="242">
        <v>27644</v>
      </c>
      <c r="F6" s="243">
        <v>17154</v>
      </c>
      <c r="G6" s="244">
        <f>+I6/E6*100</f>
        <v>15.970915931124294</v>
      </c>
      <c r="H6" s="245">
        <f>+I6/F6*100</f>
        <v>25.73743733240061</v>
      </c>
      <c r="I6" s="246">
        <v>4415</v>
      </c>
      <c r="J6" s="247">
        <v>10</v>
      </c>
      <c r="K6" s="248">
        <v>507611</v>
      </c>
      <c r="L6" s="249">
        <v>38287</v>
      </c>
      <c r="M6" s="246">
        <f>+K6-L6</f>
        <v>469324</v>
      </c>
      <c r="N6" s="250">
        <v>10</v>
      </c>
      <c r="O6" s="251">
        <f t="shared" ref="O6:O21" si="1">+$D$25</f>
        <v>7034</v>
      </c>
      <c r="P6" s="252">
        <f t="shared" ref="P6:P21" si="2">+$M$26*D6/$D$5</f>
        <v>6331.6455696202529</v>
      </c>
      <c r="Q6" s="252">
        <f t="shared" ref="Q6:Q21" si="3">+$M$27*J6/$J$5</f>
        <v>15447.35294117647</v>
      </c>
      <c r="R6" s="253">
        <f t="shared" ref="R6:R21" si="4">+$M$28*N6/$N$5</f>
        <v>6543.3139534883721</v>
      </c>
      <c r="S6" s="254">
        <f t="shared" ref="S6:S21" si="5">SUM(O6:Q6)+R6</f>
        <v>35356.312464285096</v>
      </c>
      <c r="T6" s="255">
        <v>37827</v>
      </c>
      <c r="U6" s="256">
        <f>+S6-W6</f>
        <v>-2470.6875357149038</v>
      </c>
      <c r="V6" s="434">
        <f>+U6/W6*100</f>
        <v>-6.5315450226423026</v>
      </c>
      <c r="W6" s="258">
        <v>37827</v>
      </c>
      <c r="X6" s="12">
        <f>+U6</f>
        <v>-2470.6875357149038</v>
      </c>
      <c r="Y6" s="71">
        <f>+U6</f>
        <v>-2470.6875357149038</v>
      </c>
    </row>
    <row r="7" spans="1:25" ht="14.15" customHeight="1">
      <c r="A7" s="259">
        <v>1</v>
      </c>
      <c r="B7" s="260">
        <v>2</v>
      </c>
      <c r="C7" s="261" t="s">
        <v>102</v>
      </c>
      <c r="D7" s="262">
        <v>22</v>
      </c>
      <c r="E7" s="263">
        <v>21970</v>
      </c>
      <c r="F7" s="264">
        <v>11627</v>
      </c>
      <c r="G7" s="265">
        <f t="shared" ref="G7:G21" si="6">+I7/E7*100</f>
        <v>11.888939462903959</v>
      </c>
      <c r="H7" s="266">
        <f t="shared" ref="H7:H21" si="7">+I7/F7*100</f>
        <v>22.464952266276768</v>
      </c>
      <c r="I7" s="267">
        <v>2612</v>
      </c>
      <c r="J7" s="268">
        <v>9</v>
      </c>
      <c r="K7" s="269">
        <v>315155</v>
      </c>
      <c r="L7" s="270">
        <v>35757</v>
      </c>
      <c r="M7" s="271">
        <f t="shared" ref="M7:M21" si="8">+K7-L7</f>
        <v>279398</v>
      </c>
      <c r="N7" s="272">
        <v>10</v>
      </c>
      <c r="O7" s="273">
        <f t="shared" si="1"/>
        <v>7034</v>
      </c>
      <c r="P7" s="274">
        <f t="shared" si="2"/>
        <v>6964.8101265822788</v>
      </c>
      <c r="Q7" s="274">
        <f t="shared" si="3"/>
        <v>13902.617647058823</v>
      </c>
      <c r="R7" s="275">
        <f t="shared" si="4"/>
        <v>6543.3139534883721</v>
      </c>
      <c r="S7" s="276">
        <f t="shared" si="5"/>
        <v>34444.741727129476</v>
      </c>
      <c r="T7" s="277">
        <v>34512</v>
      </c>
      <c r="U7" s="437">
        <f t="shared" ref="U7:U21" si="9">+S7-W7</f>
        <v>-67.258272870523797</v>
      </c>
      <c r="V7" s="438">
        <f t="shared" ref="V7:V21" si="10">+U7/W7*100</f>
        <v>-0.19488372992154554</v>
      </c>
      <c r="W7" s="280">
        <v>34512</v>
      </c>
      <c r="X7" s="12">
        <v>-67</v>
      </c>
      <c r="Y7" s="71">
        <f>+U7</f>
        <v>-67.258272870523797</v>
      </c>
    </row>
    <row r="8" spans="1:25" ht="14.15" customHeight="1">
      <c r="A8" s="259">
        <v>1</v>
      </c>
      <c r="B8" s="260">
        <v>3</v>
      </c>
      <c r="C8" s="281" t="s">
        <v>103</v>
      </c>
      <c r="D8" s="282">
        <v>20</v>
      </c>
      <c r="E8" s="283">
        <v>21979</v>
      </c>
      <c r="F8" s="284">
        <v>19184</v>
      </c>
      <c r="G8" s="265">
        <f t="shared" si="6"/>
        <v>13.958778834341873</v>
      </c>
      <c r="H8" s="266">
        <f t="shared" si="7"/>
        <v>15.992493744787323</v>
      </c>
      <c r="I8" s="285">
        <v>3068</v>
      </c>
      <c r="J8" s="286">
        <v>9</v>
      </c>
      <c r="K8" s="269">
        <v>250241</v>
      </c>
      <c r="L8" s="270">
        <v>35868</v>
      </c>
      <c r="M8" s="271">
        <f t="shared" si="8"/>
        <v>214373</v>
      </c>
      <c r="N8" s="287">
        <v>9</v>
      </c>
      <c r="O8" s="273">
        <f t="shared" si="1"/>
        <v>7034</v>
      </c>
      <c r="P8" s="274">
        <f t="shared" si="2"/>
        <v>6331.6455696202529</v>
      </c>
      <c r="Q8" s="274">
        <f t="shared" si="3"/>
        <v>13902.617647058823</v>
      </c>
      <c r="R8" s="275">
        <f t="shared" si="4"/>
        <v>5888.9825581395353</v>
      </c>
      <c r="S8" s="276">
        <f t="shared" si="5"/>
        <v>33157.245774818613</v>
      </c>
      <c r="T8" s="288">
        <f>33157+1458</f>
        <v>34615</v>
      </c>
      <c r="U8" s="437">
        <f t="shared" si="9"/>
        <v>-2561.7542251813866</v>
      </c>
      <c r="V8" s="435">
        <f t="shared" si="10"/>
        <v>-7.1719651311105759</v>
      </c>
      <c r="W8" s="280">
        <v>35719</v>
      </c>
      <c r="X8" s="12">
        <v>-1458</v>
      </c>
      <c r="Y8" s="71">
        <f>+U8</f>
        <v>-2561.7542251813866</v>
      </c>
    </row>
    <row r="9" spans="1:25" ht="14.15" customHeight="1">
      <c r="A9" s="259">
        <v>1</v>
      </c>
      <c r="B9" s="260">
        <v>4</v>
      </c>
      <c r="C9" s="291" t="s">
        <v>104</v>
      </c>
      <c r="D9" s="292">
        <v>22</v>
      </c>
      <c r="E9" s="263">
        <v>6589</v>
      </c>
      <c r="F9" s="264">
        <v>5042</v>
      </c>
      <c r="G9" s="265">
        <f t="shared" si="6"/>
        <v>18.743360145697373</v>
      </c>
      <c r="H9" s="266">
        <f t="shared" si="7"/>
        <v>24.494248314161045</v>
      </c>
      <c r="I9" s="285">
        <v>1235</v>
      </c>
      <c r="J9" s="268">
        <v>6</v>
      </c>
      <c r="K9" s="293">
        <v>95127</v>
      </c>
      <c r="L9" s="270">
        <v>27444</v>
      </c>
      <c r="M9" s="267">
        <f t="shared" si="8"/>
        <v>67683</v>
      </c>
      <c r="N9" s="294">
        <v>6</v>
      </c>
      <c r="O9" s="273">
        <f t="shared" si="1"/>
        <v>7034</v>
      </c>
      <c r="P9" s="274">
        <f t="shared" si="2"/>
        <v>6964.8101265822788</v>
      </c>
      <c r="Q9" s="274">
        <f t="shared" si="3"/>
        <v>9268.4117647058829</v>
      </c>
      <c r="R9" s="275">
        <f t="shared" si="4"/>
        <v>3925.9883720930234</v>
      </c>
      <c r="S9" s="276">
        <f t="shared" si="5"/>
        <v>27193.210263381185</v>
      </c>
      <c r="T9" s="277">
        <v>27193</v>
      </c>
      <c r="U9" s="301">
        <f t="shared" si="9"/>
        <v>2269.2102633811846</v>
      </c>
      <c r="V9" s="302">
        <f t="shared" si="10"/>
        <v>9.10451879064831</v>
      </c>
      <c r="W9" s="280">
        <v>24924</v>
      </c>
      <c r="X9" s="11"/>
      <c r="Y9" s="71"/>
    </row>
    <row r="10" spans="1:25" ht="14.15" customHeight="1">
      <c r="A10" s="259">
        <v>1</v>
      </c>
      <c r="B10" s="260">
        <v>5</v>
      </c>
      <c r="C10" s="291" t="s">
        <v>105</v>
      </c>
      <c r="D10" s="295">
        <v>19</v>
      </c>
      <c r="E10" s="263">
        <v>8249</v>
      </c>
      <c r="F10" s="264">
        <v>5847</v>
      </c>
      <c r="G10" s="265">
        <f t="shared" si="6"/>
        <v>15.044247787610621</v>
      </c>
      <c r="H10" s="266">
        <f t="shared" si="7"/>
        <v>21.224559603215322</v>
      </c>
      <c r="I10" s="285">
        <v>1241</v>
      </c>
      <c r="J10" s="268">
        <v>6</v>
      </c>
      <c r="K10" s="296">
        <v>202204</v>
      </c>
      <c r="L10" s="270">
        <v>24068</v>
      </c>
      <c r="M10" s="267">
        <f>+K10-L10</f>
        <v>178136</v>
      </c>
      <c r="N10" s="294">
        <v>8</v>
      </c>
      <c r="O10" s="273">
        <f t="shared" si="1"/>
        <v>7034</v>
      </c>
      <c r="P10" s="274">
        <f t="shared" si="2"/>
        <v>6015.0632911392404</v>
      </c>
      <c r="Q10" s="274">
        <f t="shared" si="3"/>
        <v>9268.4117647058829</v>
      </c>
      <c r="R10" s="275">
        <f t="shared" si="4"/>
        <v>5234.6511627906975</v>
      </c>
      <c r="S10" s="276">
        <f t="shared" si="5"/>
        <v>27552.126218635822</v>
      </c>
      <c r="T10" s="277">
        <v>27552</v>
      </c>
      <c r="U10" s="278">
        <f t="shared" si="9"/>
        <v>3637.1262186358217</v>
      </c>
      <c r="V10" s="302">
        <f t="shared" si="10"/>
        <v>15.208556214241362</v>
      </c>
      <c r="W10" s="280">
        <v>23915</v>
      </c>
      <c r="X10" s="11"/>
      <c r="Y10" s="71"/>
    </row>
    <row r="11" spans="1:25" ht="14.15" customHeight="1">
      <c r="A11" s="259">
        <v>1</v>
      </c>
      <c r="B11" s="260">
        <v>6</v>
      </c>
      <c r="C11" s="297" t="s">
        <v>106</v>
      </c>
      <c r="D11" s="292">
        <v>14</v>
      </c>
      <c r="E11" s="263">
        <v>8533</v>
      </c>
      <c r="F11" s="264">
        <v>6062</v>
      </c>
      <c r="G11" s="265">
        <f t="shared" si="6"/>
        <v>22.465721317238955</v>
      </c>
      <c r="H11" s="266">
        <f t="shared" si="7"/>
        <v>31.623226657868692</v>
      </c>
      <c r="I11" s="267">
        <v>1917</v>
      </c>
      <c r="J11" s="268">
        <v>8</v>
      </c>
      <c r="K11" s="296">
        <v>139034</v>
      </c>
      <c r="L11" s="270">
        <v>26238</v>
      </c>
      <c r="M11" s="267">
        <f>+K11-L11</f>
        <v>112796</v>
      </c>
      <c r="N11" s="294">
        <v>6</v>
      </c>
      <c r="O11" s="273">
        <f t="shared" si="1"/>
        <v>7034</v>
      </c>
      <c r="P11" s="274">
        <f t="shared" si="2"/>
        <v>4432.1518987341769</v>
      </c>
      <c r="Q11" s="274">
        <f t="shared" si="3"/>
        <v>12357.882352941177</v>
      </c>
      <c r="R11" s="275">
        <f t="shared" si="4"/>
        <v>3925.9883720930234</v>
      </c>
      <c r="S11" s="276">
        <f t="shared" si="5"/>
        <v>27750.022623768375</v>
      </c>
      <c r="T11" s="277">
        <v>27750</v>
      </c>
      <c r="U11" s="436">
        <f t="shared" si="9"/>
        <v>1593.0226237683746</v>
      </c>
      <c r="V11" s="302">
        <f t="shared" si="10"/>
        <v>6.0902344449607169</v>
      </c>
      <c r="W11" s="280">
        <v>26157</v>
      </c>
      <c r="X11" s="11"/>
      <c r="Y11" s="173"/>
    </row>
    <row r="12" spans="1:25" ht="14.5" customHeight="1">
      <c r="A12" s="259">
        <v>1</v>
      </c>
      <c r="B12" s="260">
        <v>7</v>
      </c>
      <c r="C12" s="297" t="s">
        <v>107</v>
      </c>
      <c r="D12" s="299">
        <v>11</v>
      </c>
      <c r="E12" s="263">
        <v>6185</v>
      </c>
      <c r="F12" s="264">
        <v>3301</v>
      </c>
      <c r="G12" s="265">
        <f t="shared" si="6"/>
        <v>11.059013742926435</v>
      </c>
      <c r="H12" s="266">
        <f t="shared" si="7"/>
        <v>20.720993638291425</v>
      </c>
      <c r="I12" s="271">
        <v>684</v>
      </c>
      <c r="J12" s="286">
        <v>4</v>
      </c>
      <c r="K12" s="296">
        <v>62390</v>
      </c>
      <c r="L12" s="270">
        <v>21018</v>
      </c>
      <c r="M12" s="267">
        <f t="shared" si="8"/>
        <v>41372</v>
      </c>
      <c r="N12" s="294">
        <v>4</v>
      </c>
      <c r="O12" s="273">
        <f t="shared" si="1"/>
        <v>7034</v>
      </c>
      <c r="P12" s="274">
        <f t="shared" si="2"/>
        <v>3482.4050632911394</v>
      </c>
      <c r="Q12" s="274">
        <f t="shared" si="3"/>
        <v>6178.9411764705883</v>
      </c>
      <c r="R12" s="275">
        <f t="shared" si="4"/>
        <v>2617.3255813953488</v>
      </c>
      <c r="S12" s="276">
        <f t="shared" si="5"/>
        <v>19312.671821157073</v>
      </c>
      <c r="T12" s="277">
        <v>19313</v>
      </c>
      <c r="U12" s="301">
        <f t="shared" si="9"/>
        <v>241.67182115707328</v>
      </c>
      <c r="V12" s="302">
        <f t="shared" si="10"/>
        <v>1.2672215466261512</v>
      </c>
      <c r="W12" s="280">
        <v>19071</v>
      </c>
      <c r="X12" s="11"/>
      <c r="Y12" s="71"/>
    </row>
    <row r="13" spans="1:25" ht="14.15" customHeight="1">
      <c r="A13" s="259">
        <v>1</v>
      </c>
      <c r="B13" s="260">
        <v>8</v>
      </c>
      <c r="C13" s="291" t="s">
        <v>108</v>
      </c>
      <c r="D13" s="292">
        <v>14</v>
      </c>
      <c r="E13" s="263">
        <v>4101</v>
      </c>
      <c r="F13" s="264">
        <v>2222</v>
      </c>
      <c r="G13" s="265">
        <f t="shared" si="6"/>
        <v>15.45964398927091</v>
      </c>
      <c r="H13" s="266">
        <f t="shared" si="7"/>
        <v>28.532853285328535</v>
      </c>
      <c r="I13" s="285">
        <v>634</v>
      </c>
      <c r="J13" s="268">
        <v>4</v>
      </c>
      <c r="K13" s="293">
        <v>197119</v>
      </c>
      <c r="L13" s="270">
        <v>23467</v>
      </c>
      <c r="M13" s="267">
        <f t="shared" si="8"/>
        <v>173652</v>
      </c>
      <c r="N13" s="272">
        <v>7</v>
      </c>
      <c r="O13" s="273">
        <f t="shared" si="1"/>
        <v>7034</v>
      </c>
      <c r="P13" s="274">
        <f t="shared" si="2"/>
        <v>4432.1518987341769</v>
      </c>
      <c r="Q13" s="274">
        <f t="shared" si="3"/>
        <v>6178.9411764705883</v>
      </c>
      <c r="R13" s="275">
        <f t="shared" si="4"/>
        <v>4580.3197674418607</v>
      </c>
      <c r="S13" s="276">
        <f t="shared" si="5"/>
        <v>22225.412842646627</v>
      </c>
      <c r="T13" s="277">
        <v>22225</v>
      </c>
      <c r="U13" s="436">
        <f t="shared" si="9"/>
        <v>2957.4128426466268</v>
      </c>
      <c r="V13" s="302">
        <f t="shared" si="10"/>
        <v>15.348831444086708</v>
      </c>
      <c r="W13" s="280">
        <v>19268</v>
      </c>
      <c r="X13" s="11"/>
      <c r="Y13" s="173"/>
    </row>
    <row r="14" spans="1:25" ht="14.15" customHeight="1">
      <c r="A14" s="259">
        <v>1</v>
      </c>
      <c r="B14" s="260">
        <v>9</v>
      </c>
      <c r="C14" s="297" t="s">
        <v>109</v>
      </c>
      <c r="D14" s="292">
        <v>15</v>
      </c>
      <c r="E14" s="263">
        <v>2041</v>
      </c>
      <c r="F14" s="264">
        <v>1597</v>
      </c>
      <c r="G14" s="265">
        <f t="shared" si="6"/>
        <v>36.256736893679573</v>
      </c>
      <c r="H14" s="266">
        <f t="shared" si="7"/>
        <v>46.33688165309956</v>
      </c>
      <c r="I14" s="285">
        <v>740</v>
      </c>
      <c r="J14" s="268">
        <v>5</v>
      </c>
      <c r="K14" s="270">
        <v>92832</v>
      </c>
      <c r="L14" s="270">
        <v>17990</v>
      </c>
      <c r="M14" s="285">
        <f t="shared" si="8"/>
        <v>74842</v>
      </c>
      <c r="N14" s="272">
        <v>5</v>
      </c>
      <c r="O14" s="273">
        <f t="shared" si="1"/>
        <v>7034</v>
      </c>
      <c r="P14" s="274">
        <f t="shared" si="2"/>
        <v>4748.7341772151894</v>
      </c>
      <c r="Q14" s="274">
        <f t="shared" si="3"/>
        <v>7723.6764705882351</v>
      </c>
      <c r="R14" s="275">
        <f t="shared" si="4"/>
        <v>3271.6569767441861</v>
      </c>
      <c r="S14" s="276">
        <f t="shared" si="5"/>
        <v>22778.06762454761</v>
      </c>
      <c r="T14" s="277">
        <v>22778</v>
      </c>
      <c r="U14" s="436">
        <f t="shared" si="9"/>
        <v>2816.0676245476097</v>
      </c>
      <c r="V14" s="302">
        <f t="shared" si="10"/>
        <v>14.10714169195276</v>
      </c>
      <c r="W14" s="280">
        <v>19962</v>
      </c>
      <c r="X14" s="11"/>
      <c r="Y14" s="173"/>
    </row>
    <row r="15" spans="1:25" ht="14.15" customHeight="1">
      <c r="A15" s="259">
        <v>1</v>
      </c>
      <c r="B15" s="260">
        <v>10</v>
      </c>
      <c r="C15" s="297" t="s">
        <v>110</v>
      </c>
      <c r="D15" s="292">
        <v>12</v>
      </c>
      <c r="E15" s="263">
        <v>7046</v>
      </c>
      <c r="F15" s="264">
        <v>4209</v>
      </c>
      <c r="G15" s="265">
        <f t="shared" si="6"/>
        <v>10.246948623332388</v>
      </c>
      <c r="H15" s="266">
        <f t="shared" si="7"/>
        <v>17.153718222855787</v>
      </c>
      <c r="I15" s="285">
        <v>722</v>
      </c>
      <c r="J15" s="268">
        <v>4</v>
      </c>
      <c r="K15" s="269">
        <v>151973</v>
      </c>
      <c r="L15" s="270">
        <v>21465</v>
      </c>
      <c r="M15" s="285">
        <f t="shared" si="8"/>
        <v>130508</v>
      </c>
      <c r="N15" s="272">
        <v>7</v>
      </c>
      <c r="O15" s="273">
        <f t="shared" si="1"/>
        <v>7034</v>
      </c>
      <c r="P15" s="274">
        <f t="shared" si="2"/>
        <v>3798.9873417721519</v>
      </c>
      <c r="Q15" s="274">
        <f t="shared" si="3"/>
        <v>6178.9411764705883</v>
      </c>
      <c r="R15" s="275">
        <f t="shared" si="4"/>
        <v>4580.3197674418607</v>
      </c>
      <c r="S15" s="276">
        <f t="shared" si="5"/>
        <v>21592.248285684604</v>
      </c>
      <c r="T15" s="277">
        <v>21592</v>
      </c>
      <c r="U15" s="301">
        <f t="shared" si="9"/>
        <v>1117.2482856846036</v>
      </c>
      <c r="V15" s="302">
        <f t="shared" si="10"/>
        <v>5.4566460839296882</v>
      </c>
      <c r="W15" s="280">
        <v>20475</v>
      </c>
      <c r="X15" s="11"/>
      <c r="Y15" s="71"/>
    </row>
    <row r="16" spans="1:25" ht="14.15" customHeight="1">
      <c r="A16" s="259">
        <v>1</v>
      </c>
      <c r="B16" s="260">
        <v>11</v>
      </c>
      <c r="C16" s="291" t="s">
        <v>111</v>
      </c>
      <c r="D16" s="299">
        <v>14</v>
      </c>
      <c r="E16" s="263">
        <v>7384</v>
      </c>
      <c r="F16" s="264">
        <v>3668</v>
      </c>
      <c r="G16" s="265">
        <f t="shared" si="6"/>
        <v>7.4079089924160346</v>
      </c>
      <c r="H16" s="266">
        <f t="shared" si="7"/>
        <v>14.912758996728462</v>
      </c>
      <c r="I16" s="285">
        <v>547</v>
      </c>
      <c r="J16" s="268">
        <v>4</v>
      </c>
      <c r="K16" s="293">
        <v>70067</v>
      </c>
      <c r="L16" s="270">
        <v>18220</v>
      </c>
      <c r="M16" s="285">
        <f t="shared" si="8"/>
        <v>51847</v>
      </c>
      <c r="N16" s="272">
        <v>4</v>
      </c>
      <c r="O16" s="273">
        <f t="shared" si="1"/>
        <v>7034</v>
      </c>
      <c r="P16" s="274">
        <f t="shared" si="2"/>
        <v>4432.1518987341769</v>
      </c>
      <c r="Q16" s="274">
        <f t="shared" si="3"/>
        <v>6178.9411764705883</v>
      </c>
      <c r="R16" s="275">
        <f t="shared" si="4"/>
        <v>2617.3255813953488</v>
      </c>
      <c r="S16" s="276">
        <f t="shared" si="5"/>
        <v>20262.418656600112</v>
      </c>
      <c r="T16" s="277">
        <v>20262</v>
      </c>
      <c r="U16" s="278">
        <f t="shared" si="9"/>
        <v>2540.4186566001117</v>
      </c>
      <c r="V16" s="302">
        <f t="shared" si="10"/>
        <v>14.334830473987765</v>
      </c>
      <c r="W16" s="280">
        <v>17722</v>
      </c>
      <c r="X16" s="11"/>
      <c r="Y16" s="71"/>
    </row>
    <row r="17" spans="1:26">
      <c r="A17" s="259">
        <v>1</v>
      </c>
      <c r="B17" s="260">
        <v>12</v>
      </c>
      <c r="C17" s="291" t="s">
        <v>112</v>
      </c>
      <c r="D17" s="299">
        <v>9</v>
      </c>
      <c r="E17" s="263">
        <v>2675</v>
      </c>
      <c r="F17" s="264">
        <v>2016</v>
      </c>
      <c r="G17" s="265">
        <f t="shared" si="6"/>
        <v>10.990654205607477</v>
      </c>
      <c r="H17" s="266">
        <f t="shared" si="7"/>
        <v>14.583333333333334</v>
      </c>
      <c r="I17" s="271">
        <v>294</v>
      </c>
      <c r="J17" s="286">
        <v>2</v>
      </c>
      <c r="K17" s="293">
        <v>51108</v>
      </c>
      <c r="L17" s="270">
        <v>12892</v>
      </c>
      <c r="M17" s="285">
        <f t="shared" si="8"/>
        <v>38216</v>
      </c>
      <c r="N17" s="272">
        <v>3</v>
      </c>
      <c r="O17" s="273">
        <f t="shared" si="1"/>
        <v>7034</v>
      </c>
      <c r="P17" s="274">
        <f t="shared" si="2"/>
        <v>2849.2405063291139</v>
      </c>
      <c r="Q17" s="274">
        <f t="shared" si="3"/>
        <v>3089.4705882352941</v>
      </c>
      <c r="R17" s="275">
        <f t="shared" si="4"/>
        <v>1962.9941860465117</v>
      </c>
      <c r="S17" s="276">
        <f t="shared" si="5"/>
        <v>14935.705280610919</v>
      </c>
      <c r="T17" s="277">
        <v>15289</v>
      </c>
      <c r="U17" s="437">
        <f t="shared" si="9"/>
        <v>-353.29471938908137</v>
      </c>
      <c r="V17" s="438">
        <f t="shared" si="10"/>
        <v>-2.3107771560539039</v>
      </c>
      <c r="W17" s="280">
        <v>15289</v>
      </c>
      <c r="X17" s="12">
        <v>-353</v>
      </c>
      <c r="Y17" s="71">
        <f>+U17</f>
        <v>-353.29471938908137</v>
      </c>
    </row>
    <row r="18" spans="1:26">
      <c r="A18" s="259">
        <v>1</v>
      </c>
      <c r="B18" s="260">
        <v>13</v>
      </c>
      <c r="C18" s="291" t="s">
        <v>113</v>
      </c>
      <c r="D18" s="295">
        <v>16</v>
      </c>
      <c r="E18" s="263">
        <v>5187</v>
      </c>
      <c r="F18" s="264">
        <v>4271</v>
      </c>
      <c r="G18" s="265">
        <f t="shared" si="6"/>
        <v>11.239637555427029</v>
      </c>
      <c r="H18" s="266">
        <f t="shared" si="7"/>
        <v>13.650199016623739</v>
      </c>
      <c r="I18" s="285">
        <v>583</v>
      </c>
      <c r="J18" s="268">
        <v>4</v>
      </c>
      <c r="K18" s="269">
        <v>41760</v>
      </c>
      <c r="L18" s="270">
        <v>16421</v>
      </c>
      <c r="M18" s="271">
        <f t="shared" si="8"/>
        <v>25339</v>
      </c>
      <c r="N18" s="287">
        <v>2</v>
      </c>
      <c r="O18" s="273">
        <f t="shared" si="1"/>
        <v>7034</v>
      </c>
      <c r="P18" s="274">
        <f t="shared" si="2"/>
        <v>5065.3164556962029</v>
      </c>
      <c r="Q18" s="274">
        <f t="shared" si="3"/>
        <v>6178.9411764705883</v>
      </c>
      <c r="R18" s="275">
        <f t="shared" si="4"/>
        <v>1308.6627906976744</v>
      </c>
      <c r="S18" s="276">
        <f t="shared" si="5"/>
        <v>19586.920422864467</v>
      </c>
      <c r="T18" s="277">
        <v>19587</v>
      </c>
      <c r="U18" s="436">
        <f t="shared" si="9"/>
        <v>2820.9204228644667</v>
      </c>
      <c r="V18" s="302">
        <f t="shared" si="10"/>
        <v>16.825244082455367</v>
      </c>
      <c r="W18" s="280">
        <v>16766</v>
      </c>
      <c r="X18" s="11"/>
      <c r="Y18" s="173"/>
    </row>
    <row r="19" spans="1:26">
      <c r="A19" s="259">
        <v>1</v>
      </c>
      <c r="B19" s="260">
        <v>14</v>
      </c>
      <c r="C19" s="291" t="s">
        <v>114</v>
      </c>
      <c r="D19" s="292">
        <v>12</v>
      </c>
      <c r="E19" s="263">
        <v>3183</v>
      </c>
      <c r="F19" s="264">
        <v>2299</v>
      </c>
      <c r="G19" s="265">
        <f t="shared" si="6"/>
        <v>27.741124725102107</v>
      </c>
      <c r="H19" s="266">
        <f t="shared" si="7"/>
        <v>38.408003479773818</v>
      </c>
      <c r="I19" s="271">
        <v>883</v>
      </c>
      <c r="J19" s="268">
        <v>5</v>
      </c>
      <c r="K19" s="270">
        <v>40348</v>
      </c>
      <c r="L19" s="270">
        <v>17789</v>
      </c>
      <c r="M19" s="285">
        <f t="shared" si="8"/>
        <v>22559</v>
      </c>
      <c r="N19" s="272">
        <v>1</v>
      </c>
      <c r="O19" s="273">
        <f t="shared" si="1"/>
        <v>7034</v>
      </c>
      <c r="P19" s="274">
        <f t="shared" si="2"/>
        <v>3798.9873417721519</v>
      </c>
      <c r="Q19" s="274">
        <f t="shared" si="3"/>
        <v>7723.6764705882351</v>
      </c>
      <c r="R19" s="275">
        <f t="shared" si="4"/>
        <v>654.33139534883719</v>
      </c>
      <c r="S19" s="276">
        <f t="shared" si="5"/>
        <v>19210.995207709224</v>
      </c>
      <c r="T19" s="277">
        <v>19211</v>
      </c>
      <c r="U19" s="436">
        <f t="shared" si="9"/>
        <v>1134.9952077092239</v>
      </c>
      <c r="V19" s="302">
        <f t="shared" si="10"/>
        <v>6.2790175243926969</v>
      </c>
      <c r="W19" s="280">
        <v>18076</v>
      </c>
      <c r="X19" s="11"/>
      <c r="Y19" s="173"/>
    </row>
    <row r="20" spans="1:26">
      <c r="A20" s="259">
        <v>1</v>
      </c>
      <c r="B20" s="260">
        <v>15</v>
      </c>
      <c r="C20" s="297" t="s">
        <v>115</v>
      </c>
      <c r="D20" s="299">
        <v>9</v>
      </c>
      <c r="E20" s="263">
        <v>7084</v>
      </c>
      <c r="F20" s="264">
        <v>3820</v>
      </c>
      <c r="G20" s="265">
        <f t="shared" si="6"/>
        <v>7.6369282891022019</v>
      </c>
      <c r="H20" s="266">
        <f t="shared" si="7"/>
        <v>14.162303664921467</v>
      </c>
      <c r="I20" s="271">
        <v>541</v>
      </c>
      <c r="J20" s="268">
        <v>4</v>
      </c>
      <c r="K20" s="293">
        <v>54264</v>
      </c>
      <c r="L20" s="270">
        <v>17437</v>
      </c>
      <c r="M20" s="267">
        <f t="shared" si="8"/>
        <v>36827</v>
      </c>
      <c r="N20" s="294">
        <v>3</v>
      </c>
      <c r="O20" s="273">
        <f t="shared" si="1"/>
        <v>7034</v>
      </c>
      <c r="P20" s="274">
        <f t="shared" si="2"/>
        <v>2849.2405063291139</v>
      </c>
      <c r="Q20" s="274">
        <f t="shared" si="3"/>
        <v>6178.9411764705883</v>
      </c>
      <c r="R20" s="275">
        <f t="shared" si="4"/>
        <v>1962.9941860465117</v>
      </c>
      <c r="S20" s="276">
        <f t="shared" si="5"/>
        <v>18025.175868846214</v>
      </c>
      <c r="T20" s="277">
        <v>18025</v>
      </c>
      <c r="U20" s="301">
        <f t="shared" si="9"/>
        <v>4134.1758688462141</v>
      </c>
      <c r="V20" s="302">
        <f t="shared" si="10"/>
        <v>29.761542501232551</v>
      </c>
      <c r="W20" s="280">
        <v>13891</v>
      </c>
      <c r="X20" s="11"/>
      <c r="Y20" s="71"/>
    </row>
    <row r="21" spans="1:26" ht="12" thickBot="1">
      <c r="A21" s="303">
        <v>1</v>
      </c>
      <c r="B21" s="304">
        <v>16</v>
      </c>
      <c r="C21" s="305" t="s">
        <v>116</v>
      </c>
      <c r="D21" s="306">
        <v>8</v>
      </c>
      <c r="E21" s="307">
        <v>679</v>
      </c>
      <c r="F21" s="308">
        <v>534</v>
      </c>
      <c r="G21" s="309">
        <f t="shared" si="6"/>
        <v>21.649484536082475</v>
      </c>
      <c r="H21" s="310">
        <f t="shared" si="7"/>
        <v>27.528089887640451</v>
      </c>
      <c r="I21" s="311">
        <v>147</v>
      </c>
      <c r="J21" s="312">
        <v>1</v>
      </c>
      <c r="K21" s="313">
        <v>28037</v>
      </c>
      <c r="L21" s="314">
        <v>10771</v>
      </c>
      <c r="M21" s="315">
        <f t="shared" si="8"/>
        <v>17266</v>
      </c>
      <c r="N21" s="316">
        <v>1</v>
      </c>
      <c r="O21" s="317">
        <f t="shared" si="1"/>
        <v>7034</v>
      </c>
      <c r="P21" s="318">
        <f t="shared" si="2"/>
        <v>2532.6582278481014</v>
      </c>
      <c r="Q21" s="318">
        <f t="shared" si="3"/>
        <v>1544.7352941176471</v>
      </c>
      <c r="R21" s="319">
        <f t="shared" si="4"/>
        <v>654.33139534883719</v>
      </c>
      <c r="S21" s="320">
        <f t="shared" si="5"/>
        <v>11765.724917314586</v>
      </c>
      <c r="T21" s="321">
        <v>11766</v>
      </c>
      <c r="U21" s="322">
        <f t="shared" si="9"/>
        <v>262.72491731458649</v>
      </c>
      <c r="V21" s="323">
        <f t="shared" si="10"/>
        <v>2.2839686804710642</v>
      </c>
      <c r="W21" s="324">
        <v>11503</v>
      </c>
      <c r="X21" s="11"/>
      <c r="Y21" s="71"/>
    </row>
    <row r="22" spans="1:26" ht="21.65" customHeight="1" thickBot="1">
      <c r="A22" s="133"/>
      <c r="B22" s="134"/>
      <c r="C22" s="135"/>
      <c r="D22" s="23"/>
      <c r="E22" s="136"/>
      <c r="F22" s="137"/>
      <c r="G22" s="136"/>
      <c r="H22" s="87"/>
      <c r="I22" s="87"/>
      <c r="J22" s="87"/>
      <c r="K22" s="136"/>
      <c r="L22" s="136"/>
      <c r="M22" s="136"/>
      <c r="N22" s="136"/>
      <c r="R22" s="771" t="s">
        <v>54</v>
      </c>
      <c r="S22" s="771"/>
      <c r="T22" s="771"/>
      <c r="U22" s="138">
        <f>SUM(Y6:Y21)</f>
        <v>-5452.9947531558955</v>
      </c>
      <c r="V22" s="22"/>
      <c r="W22" s="23"/>
      <c r="X22" s="325">
        <f>SUM(X6:X21)</f>
        <v>-4348.6875357149038</v>
      </c>
      <c r="Y22" s="326">
        <f>SUM(Y6:Y21)</f>
        <v>-5452.9947531558955</v>
      </c>
    </row>
    <row r="23" spans="1:26" ht="12" thickBot="1">
      <c r="A23" s="133"/>
      <c r="B23" s="134"/>
      <c r="C23" s="135"/>
      <c r="D23" s="23"/>
      <c r="E23" s="136"/>
      <c r="F23" s="137"/>
      <c r="G23" s="136"/>
      <c r="H23" s="87"/>
      <c r="I23" s="87"/>
      <c r="J23" s="87"/>
      <c r="K23" s="136"/>
      <c r="L23" s="136"/>
      <c r="M23" s="136"/>
      <c r="N23" s="136"/>
      <c r="O23" s="136"/>
      <c r="R23" s="772" t="s">
        <v>55</v>
      </c>
      <c r="S23" s="773"/>
      <c r="T23" s="773"/>
      <c r="U23" s="774"/>
      <c r="V23" s="775">
        <f>SUM(X6:X21)</f>
        <v>-4348.6875357149038</v>
      </c>
      <c r="W23" s="776"/>
      <c r="X23" s="140"/>
      <c r="Y23" s="173"/>
    </row>
    <row r="24" spans="1:26">
      <c r="A24" s="779" t="s">
        <v>117</v>
      </c>
      <c r="B24" s="779"/>
      <c r="C24" s="779"/>
      <c r="D24" s="779"/>
      <c r="E24" s="327"/>
      <c r="F24" s="327"/>
      <c r="G24" s="328" t="s">
        <v>118</v>
      </c>
      <c r="H24" s="328"/>
      <c r="I24" s="328"/>
      <c r="J24" s="328"/>
      <c r="K24" s="328"/>
      <c r="L24" s="328"/>
      <c r="M24" s="329"/>
      <c r="P24" s="328"/>
      <c r="Q24" s="136"/>
      <c r="R24" s="136"/>
      <c r="S24" s="136"/>
      <c r="T24" s="330"/>
      <c r="U24" s="331"/>
      <c r="V24" s="331"/>
      <c r="W24" s="136"/>
      <c r="X24" s="332"/>
      <c r="Y24" s="173"/>
      <c r="Z24" s="141"/>
    </row>
    <row r="25" spans="1:26">
      <c r="A25" s="333"/>
      <c r="B25" s="334"/>
      <c r="C25" s="335">
        <v>0.3</v>
      </c>
      <c r="D25" s="780">
        <v>7034</v>
      </c>
      <c r="E25" s="780"/>
      <c r="F25" s="336"/>
      <c r="G25" s="337" t="s">
        <v>119</v>
      </c>
      <c r="H25" s="337"/>
      <c r="I25" s="337"/>
      <c r="J25" s="337"/>
      <c r="K25" s="337"/>
      <c r="L25" s="337"/>
      <c r="M25" s="164">
        <f>+D25*A5</f>
        <v>112544</v>
      </c>
      <c r="O25" s="10">
        <f>E29*0.3</f>
        <v>112545</v>
      </c>
      <c r="P25" s="338">
        <f>+O25/16</f>
        <v>7034.0625</v>
      </c>
      <c r="Q25" s="339"/>
      <c r="R25" s="136"/>
      <c r="S25" s="136"/>
      <c r="T25" s="330"/>
      <c r="U25" s="331"/>
      <c r="V25" s="331"/>
      <c r="X25" s="22"/>
      <c r="Z25" s="141"/>
    </row>
    <row r="26" spans="1:26" ht="13.15" customHeight="1">
      <c r="A26" s="333"/>
      <c r="B26" s="334"/>
      <c r="C26" s="335">
        <v>0.2</v>
      </c>
      <c r="D26" s="781">
        <v>0.2</v>
      </c>
      <c r="E26" s="781"/>
      <c r="F26" s="341"/>
      <c r="G26" s="337" t="s">
        <v>120</v>
      </c>
      <c r="H26" s="337"/>
      <c r="I26" s="337"/>
      <c r="J26" s="337"/>
      <c r="K26" s="337"/>
      <c r="L26" s="337"/>
      <c r="M26" s="164">
        <f>+(+$E$29)*D26</f>
        <v>75030</v>
      </c>
      <c r="O26" s="782" t="s">
        <v>144</v>
      </c>
      <c r="P26" s="782"/>
      <c r="Q26" s="782"/>
      <c r="R26" s="782"/>
      <c r="S26" s="782"/>
      <c r="T26" s="782"/>
      <c r="U26" s="782"/>
      <c r="V26" s="782"/>
      <c r="W26" s="782"/>
      <c r="X26" s="22"/>
      <c r="Z26" s="141"/>
    </row>
    <row r="27" spans="1:26">
      <c r="A27" s="333"/>
      <c r="C27" s="335">
        <v>0.35</v>
      </c>
      <c r="D27" s="781">
        <v>0.35</v>
      </c>
      <c r="E27" s="781"/>
      <c r="F27" s="341"/>
      <c r="G27" s="337" t="s">
        <v>66</v>
      </c>
      <c r="H27" s="337"/>
      <c r="I27" s="337"/>
      <c r="J27" s="337"/>
      <c r="K27" s="337"/>
      <c r="L27" s="337"/>
      <c r="M27" s="164">
        <f>+(+$E$29)*D27</f>
        <v>131302.5</v>
      </c>
      <c r="O27" s="782"/>
      <c r="P27" s="782"/>
      <c r="Q27" s="782"/>
      <c r="R27" s="782"/>
      <c r="S27" s="782"/>
      <c r="T27" s="782"/>
      <c r="U27" s="782"/>
      <c r="V27" s="782"/>
      <c r="W27" s="782"/>
      <c r="X27" s="22"/>
      <c r="Z27" s="141"/>
    </row>
    <row r="28" spans="1:26" ht="13.15" customHeight="1">
      <c r="A28" s="333"/>
      <c r="C28" s="335">
        <v>0.15</v>
      </c>
      <c r="D28" s="781">
        <v>0.15</v>
      </c>
      <c r="E28" s="781"/>
      <c r="F28" s="341"/>
      <c r="G28" s="337" t="s">
        <v>68</v>
      </c>
      <c r="H28" s="337"/>
      <c r="I28" s="337"/>
      <c r="J28" s="337"/>
      <c r="K28" s="337"/>
      <c r="L28" s="337"/>
      <c r="M28" s="164">
        <f>+(+$E$29)*D28</f>
        <v>56272.5</v>
      </c>
      <c r="O28" s="783" t="s">
        <v>122</v>
      </c>
      <c r="P28" s="783"/>
      <c r="Q28" s="783"/>
      <c r="R28" s="783"/>
      <c r="S28" s="783"/>
      <c r="T28" s="783"/>
      <c r="U28" s="783"/>
      <c r="V28" s="783"/>
      <c r="W28" s="783"/>
      <c r="X28" s="22"/>
      <c r="Z28" s="141"/>
    </row>
    <row r="29" spans="1:26" ht="16.149999999999999" customHeight="1">
      <c r="A29" s="333"/>
      <c r="C29" s="784" t="s">
        <v>123</v>
      </c>
      <c r="D29" s="784"/>
      <c r="E29" s="87">
        <f>'Liidud-2017_950 000 €'!E49</f>
        <v>375150</v>
      </c>
      <c r="G29" s="337"/>
      <c r="H29" s="337"/>
      <c r="I29" s="337"/>
      <c r="J29" s="337"/>
      <c r="K29" s="337"/>
      <c r="M29" s="342">
        <f>SUM(M25:M28)</f>
        <v>375149</v>
      </c>
      <c r="O29" s="783"/>
      <c r="P29" s="783"/>
      <c r="Q29" s="783"/>
      <c r="R29" s="783"/>
      <c r="S29" s="783"/>
      <c r="T29" s="783"/>
      <c r="U29" s="783"/>
      <c r="V29" s="783"/>
      <c r="W29" s="783"/>
      <c r="X29" s="22"/>
      <c r="Z29" s="141"/>
    </row>
    <row r="30" spans="1:26" ht="76.900000000000006" customHeight="1">
      <c r="U30" s="136"/>
      <c r="V30" s="136"/>
      <c r="W30" s="23"/>
      <c r="X30" s="22"/>
    </row>
    <row r="31" spans="1:26">
      <c r="U31" s="136"/>
      <c r="V31" s="136"/>
      <c r="W31" s="23"/>
      <c r="X31" s="22"/>
    </row>
    <row r="32" spans="1:26">
      <c r="C32" s="329" t="s">
        <v>124</v>
      </c>
      <c r="U32" s="136"/>
      <c r="V32" s="136"/>
      <c r="W32" s="23"/>
      <c r="X32" s="22"/>
    </row>
    <row r="33" spans="1:24" s="23" customFormat="1" ht="4.1500000000000004" customHeight="1">
      <c r="B33" s="140"/>
      <c r="C33" s="329"/>
      <c r="D33" s="141"/>
      <c r="E33" s="182"/>
      <c r="F33" s="182"/>
      <c r="G33" s="182"/>
      <c r="H33" s="182"/>
      <c r="M33" s="141"/>
      <c r="T33" s="183"/>
      <c r="U33" s="136"/>
      <c r="V33" s="136"/>
      <c r="X33" s="22"/>
    </row>
    <row r="34" spans="1:24" s="23" customFormat="1" ht="12">
      <c r="B34" s="140"/>
      <c r="C34" s="329" t="s">
        <v>125</v>
      </c>
      <c r="D34" s="141"/>
      <c r="E34" s="182"/>
      <c r="F34" s="786" t="s">
        <v>126</v>
      </c>
      <c r="G34" s="786"/>
      <c r="H34" s="786"/>
      <c r="I34" s="786"/>
      <c r="J34" s="786"/>
      <c r="K34" s="329" t="s">
        <v>127</v>
      </c>
      <c r="M34" s="141"/>
      <c r="O34" s="787" t="s">
        <v>79</v>
      </c>
      <c r="P34" s="788"/>
      <c r="Q34" s="789"/>
      <c r="R34" s="777"/>
      <c r="S34" s="777"/>
      <c r="T34" s="343"/>
      <c r="U34" s="136"/>
      <c r="W34" s="344"/>
      <c r="X34" s="345"/>
    </row>
    <row r="35" spans="1:24" s="23" customFormat="1" ht="12">
      <c r="A35" s="333"/>
      <c r="B35" s="334"/>
      <c r="C35" s="346" t="s">
        <v>128</v>
      </c>
      <c r="D35" s="347" t="s">
        <v>129</v>
      </c>
      <c r="E35" s="344" t="s">
        <v>80</v>
      </c>
      <c r="F35" s="344"/>
      <c r="G35" s="348"/>
      <c r="H35" s="349" t="s">
        <v>80</v>
      </c>
      <c r="I35" s="349" t="s">
        <v>81</v>
      </c>
      <c r="J35" s="350"/>
      <c r="K35" s="351" t="s">
        <v>130</v>
      </c>
      <c r="L35" s="352" t="s">
        <v>129</v>
      </c>
      <c r="M35" s="344" t="s">
        <v>80</v>
      </c>
      <c r="N35" s="344"/>
      <c r="O35" s="348"/>
      <c r="P35" s="349" t="s">
        <v>80</v>
      </c>
      <c r="Q35" s="349" t="s">
        <v>81</v>
      </c>
      <c r="R35" s="182"/>
      <c r="S35" s="344"/>
      <c r="T35" s="343"/>
      <c r="U35" s="136"/>
      <c r="V35" s="353"/>
      <c r="W35" s="344"/>
      <c r="X35" s="345"/>
    </row>
    <row r="36" spans="1:24" s="23" customFormat="1" ht="12.5" thickBot="1">
      <c r="A36" s="333"/>
      <c r="B36" s="334"/>
      <c r="C36" s="354">
        <v>147</v>
      </c>
      <c r="D36" s="340">
        <f>LOG10(C36)</f>
        <v>2.167317334748176</v>
      </c>
      <c r="E36" s="355">
        <f>+D36</f>
        <v>2.167317334748176</v>
      </c>
      <c r="F36" s="355"/>
      <c r="G36" s="356"/>
      <c r="H36" s="357">
        <f>POWER(10,E36)</f>
        <v>147.00000000000009</v>
      </c>
      <c r="I36" s="358">
        <v>1</v>
      </c>
      <c r="J36" s="350"/>
      <c r="K36" s="439">
        <v>17266</v>
      </c>
      <c r="L36" s="355">
        <f>LOG10(K36)</f>
        <v>4.2371917365751388</v>
      </c>
      <c r="M36" s="340">
        <f>+L36</f>
        <v>4.2371917365751388</v>
      </c>
      <c r="N36" s="355"/>
      <c r="O36" s="359"/>
      <c r="P36" s="172">
        <f t="shared" ref="P36:P41" si="11">POWER(10,M36)</f>
        <v>17266.000000000029</v>
      </c>
      <c r="Q36" s="172">
        <v>1</v>
      </c>
      <c r="R36" s="87"/>
      <c r="S36" s="87"/>
      <c r="T36" s="360"/>
      <c r="U36" s="136"/>
      <c r="V36" s="164"/>
      <c r="W36" s="164"/>
      <c r="X36" s="361"/>
    </row>
    <row r="37" spans="1:24" s="23" customFormat="1" ht="12">
      <c r="A37" s="333"/>
      <c r="B37" s="334"/>
      <c r="C37" s="440">
        <v>294</v>
      </c>
      <c r="D37" s="340">
        <f t="shared" ref="D37:D51" si="12">LOG10(C37)</f>
        <v>2.4683473304121573</v>
      </c>
      <c r="E37" s="355">
        <f>+D37</f>
        <v>2.4683473304121573</v>
      </c>
      <c r="F37" s="355"/>
      <c r="G37" s="182"/>
      <c r="H37" s="357">
        <f t="shared" ref="H37:H46" si="13">POWER(10,E37)</f>
        <v>294.00000000000023</v>
      </c>
      <c r="I37" s="358">
        <v>2</v>
      </c>
      <c r="J37" s="350"/>
      <c r="K37" s="439">
        <v>22559</v>
      </c>
      <c r="L37" s="355">
        <f t="shared" ref="L37:L51" si="14">LOG10(K37)</f>
        <v>4.3533198442427095</v>
      </c>
      <c r="M37" s="340">
        <f>+M36+$L$52</f>
        <v>4.3806198392638809</v>
      </c>
      <c r="N37" s="355"/>
      <c r="O37" s="87"/>
      <c r="P37" s="172">
        <f t="shared" si="11"/>
        <v>24022.590560468947</v>
      </c>
      <c r="Q37" s="172">
        <v>2</v>
      </c>
      <c r="R37" s="87"/>
      <c r="S37" s="87"/>
      <c r="T37" s="360"/>
      <c r="U37" s="136"/>
      <c r="V37" s="164"/>
      <c r="W37" s="164"/>
      <c r="X37" s="361"/>
    </row>
    <row r="38" spans="1:24" s="23" customFormat="1" ht="12">
      <c r="A38" s="333"/>
      <c r="B38" s="334"/>
      <c r="C38" s="441">
        <v>541</v>
      </c>
      <c r="D38" s="340">
        <f t="shared" si="12"/>
        <v>2.7331972651065692</v>
      </c>
      <c r="E38" s="355">
        <f t="shared" ref="E38:E46" si="15">+E37+$D$52</f>
        <v>2.5990788168012049</v>
      </c>
      <c r="F38" s="355"/>
      <c r="G38" s="182"/>
      <c r="H38" s="357">
        <f t="shared" si="13"/>
        <v>397.26363928305267</v>
      </c>
      <c r="I38" s="358">
        <v>3</v>
      </c>
      <c r="J38" s="350"/>
      <c r="K38" s="439">
        <v>25339</v>
      </c>
      <c r="L38" s="355">
        <f t="shared" si="14"/>
        <v>4.4037894715161885</v>
      </c>
      <c r="M38" s="340">
        <f t="shared" ref="M38:M46" si="16">+M37+$L$52</f>
        <v>4.5240479419526229</v>
      </c>
      <c r="N38" s="355"/>
      <c r="O38" s="87"/>
      <c r="P38" s="172">
        <f t="shared" si="11"/>
        <v>33423.193399509546</v>
      </c>
      <c r="Q38" s="172">
        <v>3</v>
      </c>
      <c r="R38" s="87"/>
      <c r="S38" s="87"/>
      <c r="T38" s="360"/>
      <c r="U38" s="136"/>
      <c r="V38" s="164"/>
      <c r="W38" s="164"/>
      <c r="X38" s="361"/>
    </row>
    <row r="39" spans="1:24" s="23" customFormat="1" ht="12">
      <c r="A39" s="333"/>
      <c r="B39" s="334"/>
      <c r="C39" s="441">
        <v>547</v>
      </c>
      <c r="D39" s="340">
        <f t="shared" si="12"/>
        <v>2.7379873263334309</v>
      </c>
      <c r="E39" s="355">
        <f t="shared" si="15"/>
        <v>2.7298103031902525</v>
      </c>
      <c r="F39" s="355"/>
      <c r="G39" s="182"/>
      <c r="H39" s="357">
        <f t="shared" si="13"/>
        <v>536.79727583814713</v>
      </c>
      <c r="I39" s="358">
        <v>4</v>
      </c>
      <c r="J39" s="350"/>
      <c r="K39" s="439">
        <v>36827</v>
      </c>
      <c r="L39" s="355">
        <f t="shared" si="14"/>
        <v>4.5661663418114156</v>
      </c>
      <c r="M39" s="340">
        <f t="shared" si="16"/>
        <v>4.667476044641365</v>
      </c>
      <c r="N39" s="355"/>
      <c r="O39" s="87"/>
      <c r="P39" s="172">
        <f t="shared" si="11"/>
        <v>46502.47250433141</v>
      </c>
      <c r="Q39" s="172">
        <v>4</v>
      </c>
      <c r="R39" s="87"/>
      <c r="S39" s="87"/>
      <c r="T39" s="360"/>
      <c r="U39" s="136"/>
      <c r="V39" s="164"/>
      <c r="W39" s="164"/>
      <c r="X39" s="361"/>
    </row>
    <row r="40" spans="1:24" s="23" customFormat="1" ht="12">
      <c r="A40" s="333"/>
      <c r="B40" s="334"/>
      <c r="C40" s="441">
        <v>583</v>
      </c>
      <c r="D40" s="340">
        <f t="shared" si="12"/>
        <v>2.7656685547590141</v>
      </c>
      <c r="E40" s="355">
        <f t="shared" si="15"/>
        <v>2.8605417895793002</v>
      </c>
      <c r="F40" s="355"/>
      <c r="G40" s="182"/>
      <c r="H40" s="357">
        <f t="shared" si="13"/>
        <v>725.34026992071722</v>
      </c>
      <c r="I40" s="358">
        <v>5</v>
      </c>
      <c r="J40" s="136"/>
      <c r="K40" s="439">
        <v>38216</v>
      </c>
      <c r="L40" s="355">
        <f t="shared" si="14"/>
        <v>4.5822452282752977</v>
      </c>
      <c r="M40" s="340">
        <f t="shared" si="16"/>
        <v>4.8109041473301071</v>
      </c>
      <c r="N40" s="355"/>
      <c r="O40" s="17"/>
      <c r="P40" s="172">
        <f t="shared" si="11"/>
        <v>64699.980135585472</v>
      </c>
      <c r="Q40" s="172">
        <v>5</v>
      </c>
      <c r="R40" s="87"/>
      <c r="S40" s="87"/>
      <c r="T40" s="360"/>
      <c r="U40" s="136"/>
      <c r="V40" s="164"/>
      <c r="W40" s="164"/>
      <c r="X40" s="361"/>
    </row>
    <row r="41" spans="1:24" s="23" customFormat="1" ht="12">
      <c r="A41" s="333"/>
      <c r="B41" s="334"/>
      <c r="C41" s="441">
        <v>634</v>
      </c>
      <c r="D41" s="340">
        <f t="shared" si="12"/>
        <v>2.8020892578817329</v>
      </c>
      <c r="E41" s="355">
        <f t="shared" si="15"/>
        <v>2.9912732759683478</v>
      </c>
      <c r="F41" s="355"/>
      <c r="G41" s="182"/>
      <c r="H41" s="357">
        <f t="shared" si="13"/>
        <v>980.10651478658383</v>
      </c>
      <c r="I41" s="358">
        <v>6</v>
      </c>
      <c r="J41" s="136"/>
      <c r="K41" s="439">
        <v>41372</v>
      </c>
      <c r="L41" s="355">
        <f t="shared" si="14"/>
        <v>4.6167065160119938</v>
      </c>
      <c r="M41" s="340">
        <f t="shared" si="16"/>
        <v>4.9543322500188491</v>
      </c>
      <c r="N41" s="355"/>
      <c r="O41" s="87"/>
      <c r="P41" s="172">
        <f t="shared" si="11"/>
        <v>90018.59910040781</v>
      </c>
      <c r="Q41" s="172">
        <v>6</v>
      </c>
      <c r="R41" s="87"/>
      <c r="S41" s="87"/>
      <c r="T41" s="360"/>
      <c r="U41" s="136"/>
      <c r="V41" s="164"/>
      <c r="W41" s="164"/>
      <c r="X41" s="361"/>
    </row>
    <row r="42" spans="1:24" s="23" customFormat="1" ht="14.5" customHeight="1">
      <c r="A42" s="333"/>
      <c r="B42" s="334"/>
      <c r="C42" s="441">
        <v>684</v>
      </c>
      <c r="D42" s="340">
        <f t="shared" si="12"/>
        <v>2.8350561017201161</v>
      </c>
      <c r="E42" s="355">
        <f t="shared" si="15"/>
        <v>3.1220047623573954</v>
      </c>
      <c r="F42" s="355"/>
      <c r="G42" s="182"/>
      <c r="H42" s="357">
        <f t="shared" si="13"/>
        <v>1324.35605765016</v>
      </c>
      <c r="I42" s="358">
        <v>7</v>
      </c>
      <c r="J42" s="136"/>
      <c r="K42" s="439">
        <v>51847</v>
      </c>
      <c r="L42" s="355">
        <f t="shared" si="14"/>
        <v>4.7147236320627828</v>
      </c>
      <c r="M42" s="340">
        <f t="shared" si="16"/>
        <v>5.0977603527075912</v>
      </c>
      <c r="N42" s="355"/>
      <c r="O42" s="778">
        <f>POWER(10,M42)</f>
        <v>125244.98720121021</v>
      </c>
      <c r="P42" s="778"/>
      <c r="Q42" s="172">
        <v>7</v>
      </c>
      <c r="R42" s="87"/>
      <c r="S42" s="87"/>
      <c r="T42" s="360"/>
      <c r="U42" s="136"/>
      <c r="V42" s="164"/>
      <c r="W42" s="164"/>
      <c r="X42" s="361"/>
    </row>
    <row r="43" spans="1:24" s="23" customFormat="1" ht="14.5" customHeight="1">
      <c r="B43" s="140"/>
      <c r="C43" s="441">
        <v>722</v>
      </c>
      <c r="D43" s="340">
        <f t="shared" si="12"/>
        <v>2.858537197569639</v>
      </c>
      <c r="E43" s="355">
        <f t="shared" si="15"/>
        <v>3.2527362487464431</v>
      </c>
      <c r="F43" s="355"/>
      <c r="G43" s="182"/>
      <c r="H43" s="357">
        <f t="shared" si="13"/>
        <v>1789.5187318661854</v>
      </c>
      <c r="I43" s="358">
        <v>8</v>
      </c>
      <c r="K43" s="439">
        <v>67683</v>
      </c>
      <c r="L43" s="355">
        <f t="shared" si="14"/>
        <v>4.830479600246254</v>
      </c>
      <c r="M43" s="340">
        <f t="shared" si="16"/>
        <v>5.2411884553963333</v>
      </c>
      <c r="N43" s="355"/>
      <c r="O43" s="778">
        <f>POWER(10,M43)</f>
        <v>174256.28676507858</v>
      </c>
      <c r="P43" s="778"/>
      <c r="Q43" s="172">
        <v>8</v>
      </c>
      <c r="R43" s="87"/>
      <c r="S43" s="87"/>
      <c r="T43" s="360"/>
      <c r="V43" s="164"/>
      <c r="W43" s="164"/>
      <c r="X43" s="361"/>
    </row>
    <row r="44" spans="1:24" s="23" customFormat="1" ht="14.5" customHeight="1">
      <c r="B44" s="140"/>
      <c r="C44" s="441">
        <v>740</v>
      </c>
      <c r="D44" s="340">
        <f t="shared" si="12"/>
        <v>2.8692317197309762</v>
      </c>
      <c r="E44" s="355">
        <f t="shared" si="15"/>
        <v>3.3834677351354907</v>
      </c>
      <c r="F44" s="355"/>
      <c r="G44" s="182"/>
      <c r="H44" s="357">
        <f t="shared" si="13"/>
        <v>2418.0636870284116</v>
      </c>
      <c r="I44" s="358">
        <v>9</v>
      </c>
      <c r="K44" s="439">
        <v>74842</v>
      </c>
      <c r="L44" s="355">
        <f t="shared" si="14"/>
        <v>4.8741453846184326</v>
      </c>
      <c r="M44" s="340">
        <f t="shared" si="16"/>
        <v>5.3846165580850753</v>
      </c>
      <c r="N44" s="355"/>
      <c r="O44" s="778">
        <f>POWER(10,M44)</f>
        <v>242446.85680210515</v>
      </c>
      <c r="P44" s="778"/>
      <c r="Q44" s="172">
        <v>9</v>
      </c>
      <c r="R44" s="87"/>
      <c r="S44" s="87"/>
      <c r="T44" s="360"/>
      <c r="V44" s="164"/>
      <c r="W44" s="164"/>
      <c r="X44" s="361"/>
    </row>
    <row r="45" spans="1:24" s="23" customFormat="1" ht="14.5" customHeight="1">
      <c r="B45" s="140"/>
      <c r="C45" s="441">
        <v>883</v>
      </c>
      <c r="D45" s="340">
        <f t="shared" si="12"/>
        <v>2.9459607035775686</v>
      </c>
      <c r="E45" s="355">
        <f>+E44+$D$52</f>
        <v>3.5141992215245383</v>
      </c>
      <c r="F45" s="355"/>
      <c r="G45" s="182"/>
      <c r="H45" s="357">
        <f t="shared" si="13"/>
        <v>3267.3768038336816</v>
      </c>
      <c r="I45" s="358">
        <v>10</v>
      </c>
      <c r="K45" s="439">
        <v>112796</v>
      </c>
      <c r="L45" s="355">
        <f t="shared" si="14"/>
        <v>5.0522936988607157</v>
      </c>
      <c r="M45" s="340">
        <f t="shared" si="16"/>
        <v>5.5280446607738174</v>
      </c>
      <c r="N45" s="355"/>
      <c r="O45" s="778">
        <f>POWER(10,M45)</f>
        <v>337321.99546099955</v>
      </c>
      <c r="P45" s="778"/>
      <c r="Q45" s="172">
        <v>10</v>
      </c>
      <c r="R45" s="164"/>
      <c r="S45" s="164"/>
      <c r="T45" s="362"/>
      <c r="V45" s="164"/>
      <c r="W45" s="164"/>
      <c r="X45" s="361"/>
    </row>
    <row r="46" spans="1:24" s="23" customFormat="1" ht="14.5" customHeight="1">
      <c r="B46" s="140"/>
      <c r="C46" s="441">
        <v>1235</v>
      </c>
      <c r="D46" s="340">
        <f t="shared" si="12"/>
        <v>3.0916669575956846</v>
      </c>
      <c r="E46" s="355">
        <f t="shared" si="15"/>
        <v>3.644930707913586</v>
      </c>
      <c r="F46" s="355"/>
      <c r="G46" s="182"/>
      <c r="H46" s="357">
        <f t="shared" si="13"/>
        <v>4414.9999999999873</v>
      </c>
      <c r="I46" s="358">
        <v>10</v>
      </c>
      <c r="K46" s="439">
        <v>130508</v>
      </c>
      <c r="L46" s="355">
        <f t="shared" si="14"/>
        <v>5.115637134274805</v>
      </c>
      <c r="M46" s="340">
        <f t="shared" si="16"/>
        <v>5.6714727634625595</v>
      </c>
      <c r="N46" s="355"/>
      <c r="O46" s="778">
        <f>POWER(10,M46)</f>
        <v>469323.99999999674</v>
      </c>
      <c r="P46" s="778"/>
      <c r="Q46" s="172">
        <v>10</v>
      </c>
      <c r="R46" s="164"/>
      <c r="S46" s="164"/>
      <c r="T46" s="362"/>
      <c r="V46" s="164"/>
      <c r="W46" s="164"/>
      <c r="X46" s="361"/>
    </row>
    <row r="47" spans="1:24" s="23" customFormat="1" ht="12">
      <c r="B47" s="140"/>
      <c r="C47" s="441">
        <v>1241</v>
      </c>
      <c r="D47" s="340">
        <f t="shared" si="12"/>
        <v>3.09377178149873</v>
      </c>
      <c r="E47" s="182"/>
      <c r="F47" s="355"/>
      <c r="G47" s="182"/>
      <c r="H47" s="182"/>
      <c r="I47" s="357"/>
      <c r="K47" s="439">
        <v>173652</v>
      </c>
      <c r="L47" s="355">
        <f t="shared" si="14"/>
        <v>5.2396797895699709</v>
      </c>
      <c r="M47" s="141"/>
      <c r="N47" s="355"/>
      <c r="P47" s="172"/>
      <c r="R47" s="164"/>
      <c r="S47" s="164"/>
      <c r="T47" s="362"/>
      <c r="V47" s="164"/>
      <c r="W47" s="164"/>
      <c r="X47" s="361"/>
    </row>
    <row r="48" spans="1:24" s="23" customFormat="1" ht="12">
      <c r="B48" s="140"/>
      <c r="C48" s="441">
        <v>1917</v>
      </c>
      <c r="D48" s="340">
        <f t="shared" si="12"/>
        <v>3.2826221128780624</v>
      </c>
      <c r="E48" s="182"/>
      <c r="F48" s="355"/>
      <c r="G48" s="182"/>
      <c r="H48" s="182"/>
      <c r="I48" s="357"/>
      <c r="K48" s="439">
        <v>178136</v>
      </c>
      <c r="L48" s="355">
        <f t="shared" si="14"/>
        <v>5.2507516961135634</v>
      </c>
      <c r="M48" s="141"/>
      <c r="N48" s="355"/>
      <c r="P48" s="172"/>
      <c r="R48" s="164"/>
      <c r="S48" s="164"/>
      <c r="T48" s="362"/>
      <c r="V48" s="164"/>
      <c r="W48" s="164"/>
      <c r="X48" s="361"/>
    </row>
    <row r="49" spans="2:24" s="23" customFormat="1" ht="12">
      <c r="B49" s="140"/>
      <c r="C49" s="441">
        <v>2612</v>
      </c>
      <c r="D49" s="340">
        <f t="shared" si="12"/>
        <v>3.4169731726030363</v>
      </c>
      <c r="F49" s="355"/>
      <c r="I49" s="357"/>
      <c r="K49" s="439">
        <v>214373</v>
      </c>
      <c r="L49" s="355">
        <f t="shared" si="14"/>
        <v>5.3311700856410003</v>
      </c>
      <c r="M49" s="141"/>
      <c r="N49" s="355"/>
      <c r="P49" s="172"/>
      <c r="R49" s="164"/>
      <c r="S49" s="164"/>
      <c r="T49" s="362"/>
      <c r="V49" s="164"/>
      <c r="W49" s="164"/>
      <c r="X49" s="361"/>
    </row>
    <row r="50" spans="2:24" s="23" customFormat="1" ht="12">
      <c r="B50" s="140"/>
      <c r="C50" s="441">
        <v>3068</v>
      </c>
      <c r="D50" s="340">
        <f t="shared" si="12"/>
        <v>3.4868553552769432</v>
      </c>
      <c r="E50" s="182"/>
      <c r="F50" s="355"/>
      <c r="G50" s="182"/>
      <c r="H50" s="182"/>
      <c r="I50" s="357"/>
      <c r="K50" s="439">
        <v>279398</v>
      </c>
      <c r="L50" s="355">
        <f t="shared" si="14"/>
        <v>5.446223293001955</v>
      </c>
      <c r="M50" s="141"/>
      <c r="N50" s="355"/>
      <c r="P50" s="172"/>
      <c r="R50" s="164"/>
      <c r="S50" s="164"/>
      <c r="T50" s="362"/>
      <c r="V50" s="164"/>
      <c r="W50" s="164"/>
      <c r="X50" s="361"/>
    </row>
    <row r="51" spans="2:24" s="23" customFormat="1" ht="12">
      <c r="B51" s="140"/>
      <c r="C51" s="441">
        <v>4415</v>
      </c>
      <c r="D51" s="340">
        <f t="shared" si="12"/>
        <v>3.6449307079135873</v>
      </c>
      <c r="E51" s="182"/>
      <c r="F51" s="355"/>
      <c r="G51" s="182"/>
      <c r="H51" s="182"/>
      <c r="I51" s="357"/>
      <c r="K51" s="439">
        <v>469324</v>
      </c>
      <c r="L51" s="355">
        <f t="shared" si="14"/>
        <v>5.671472763462563</v>
      </c>
      <c r="M51" s="141"/>
      <c r="N51" s="355"/>
      <c r="P51" s="172"/>
      <c r="R51" s="164"/>
      <c r="S51" s="164"/>
      <c r="T51" s="362"/>
      <c r="V51" s="164"/>
      <c r="W51" s="164"/>
      <c r="X51" s="361"/>
    </row>
    <row r="52" spans="2:24" s="23" customFormat="1">
      <c r="B52" s="140"/>
      <c r="C52" s="363" t="s">
        <v>82</v>
      </c>
      <c r="D52" s="785">
        <f>+(D51-D37)/9</f>
        <v>0.13073148638904777</v>
      </c>
      <c r="E52" s="785"/>
      <c r="F52" s="355"/>
      <c r="G52" s="182"/>
      <c r="H52" s="182"/>
      <c r="I52" s="357"/>
      <c r="L52" s="364">
        <f>+(L51-L36)/10</f>
        <v>0.14342810268874243</v>
      </c>
      <c r="M52" s="442" t="s">
        <v>82</v>
      </c>
      <c r="N52" s="355"/>
      <c r="P52" s="172"/>
      <c r="T52" s="183"/>
      <c r="W52" s="141"/>
      <c r="X52" s="365"/>
    </row>
    <row r="53" spans="2:24" s="23" customFormat="1">
      <c r="B53" s="140"/>
      <c r="C53" s="363"/>
      <c r="D53" s="364"/>
      <c r="E53" s="182"/>
      <c r="F53" s="355"/>
      <c r="G53" s="182"/>
      <c r="H53" s="182"/>
      <c r="I53" s="357"/>
      <c r="L53" s="364"/>
      <c r="M53" s="141"/>
      <c r="N53" s="355"/>
      <c r="P53" s="172"/>
      <c r="T53" s="183"/>
      <c r="W53" s="141"/>
      <c r="X53" s="365"/>
    </row>
    <row r="54" spans="2:24" s="23" customFormat="1">
      <c r="B54" s="140"/>
      <c r="D54" s="141"/>
      <c r="E54" s="182"/>
      <c r="F54" s="355"/>
      <c r="G54" s="182"/>
      <c r="H54" s="182"/>
      <c r="I54" s="357"/>
      <c r="M54" s="141"/>
      <c r="N54" s="355"/>
      <c r="P54" s="172"/>
      <c r="T54" s="183"/>
      <c r="W54" s="141"/>
      <c r="X54" s="365"/>
    </row>
    <row r="55" spans="2:24" s="23" customFormat="1">
      <c r="B55" s="140"/>
      <c r="D55" s="141"/>
      <c r="E55" s="182"/>
      <c r="F55" s="355"/>
      <c r="G55" s="182"/>
      <c r="H55" s="182"/>
      <c r="I55" s="357"/>
      <c r="M55" s="141"/>
      <c r="N55" s="355"/>
      <c r="P55" s="172"/>
      <c r="T55" s="183"/>
      <c r="W55" s="141"/>
      <c r="X55" s="365"/>
    </row>
    <row r="56" spans="2:24" s="23" customFormat="1">
      <c r="B56" s="140"/>
      <c r="D56" s="141"/>
      <c r="E56" s="182"/>
      <c r="F56" s="355"/>
      <c r="G56" s="182"/>
      <c r="H56" s="182"/>
      <c r="I56" s="357"/>
      <c r="M56" s="141"/>
      <c r="N56" s="355"/>
      <c r="P56" s="172"/>
      <c r="T56" s="183"/>
      <c r="W56" s="141"/>
      <c r="X56" s="365"/>
    </row>
  </sheetData>
  <mergeCells count="23">
    <mergeCell ref="D52:E52"/>
    <mergeCell ref="D25:E25"/>
    <mergeCell ref="O26:W27"/>
    <mergeCell ref="O28:W29"/>
    <mergeCell ref="C29:D29"/>
    <mergeCell ref="F34:J34"/>
    <mergeCell ref="O34:Q34"/>
    <mergeCell ref="R34:S34"/>
    <mergeCell ref="D26:E26"/>
    <mergeCell ref="D27:E27"/>
    <mergeCell ref="D28:E28"/>
    <mergeCell ref="O42:P42"/>
    <mergeCell ref="O43:P43"/>
    <mergeCell ref="O44:P44"/>
    <mergeCell ref="O45:P45"/>
    <mergeCell ref="O46:P46"/>
    <mergeCell ref="A24:D24"/>
    <mergeCell ref="U2:W2"/>
    <mergeCell ref="G3:H3"/>
    <mergeCell ref="U4:V4"/>
    <mergeCell ref="R22:T22"/>
    <mergeCell ref="R23:U23"/>
    <mergeCell ref="V23:W23"/>
  </mergeCells>
  <pageMargins left="3.937007874015748E-2" right="3.937007874015748E-2" top="0.55118110236220474" bottom="0.35433070866141736" header="0.31496062992125984" footer="0.31496062992125984"/>
  <pageSetup paperSize="9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74"/>
  <sheetViews>
    <sheetView workbookViewId="0">
      <selection activeCell="B18" sqref="B18:C18"/>
    </sheetView>
  </sheetViews>
  <sheetFormatPr defaultColWidth="9.1796875" defaultRowHeight="14"/>
  <cols>
    <col min="1" max="1" width="6" style="519" customWidth="1"/>
    <col min="2" max="2" width="4.54296875" style="519" customWidth="1"/>
    <col min="3" max="3" width="50.1796875" style="520" customWidth="1"/>
    <col min="4" max="4" width="15.26953125" style="580" customWidth="1"/>
    <col min="5" max="5" width="15.26953125" style="520" bestFit="1" customWidth="1"/>
    <col min="6" max="6" width="7.1796875" style="520" customWidth="1"/>
    <col min="7" max="256" width="9.1796875" style="520"/>
    <col min="257" max="257" width="6" style="520" customWidth="1"/>
    <col min="258" max="258" width="4.54296875" style="520" customWidth="1"/>
    <col min="259" max="259" width="50.1796875" style="520" customWidth="1"/>
    <col min="260" max="260" width="15.26953125" style="520" customWidth="1"/>
    <col min="261" max="261" width="15.26953125" style="520" bestFit="1" customWidth="1"/>
    <col min="262" max="262" width="7.1796875" style="520" customWidth="1"/>
    <col min="263" max="512" width="9.1796875" style="520"/>
    <col min="513" max="513" width="6" style="520" customWidth="1"/>
    <col min="514" max="514" width="4.54296875" style="520" customWidth="1"/>
    <col min="515" max="515" width="50.1796875" style="520" customWidth="1"/>
    <col min="516" max="516" width="15.26953125" style="520" customWidth="1"/>
    <col min="517" max="517" width="15.26953125" style="520" bestFit="1" customWidth="1"/>
    <col min="518" max="518" width="7.1796875" style="520" customWidth="1"/>
    <col min="519" max="768" width="9.1796875" style="520"/>
    <col min="769" max="769" width="6" style="520" customWidth="1"/>
    <col min="770" max="770" width="4.54296875" style="520" customWidth="1"/>
    <col min="771" max="771" width="50.1796875" style="520" customWidth="1"/>
    <col min="772" max="772" width="15.26953125" style="520" customWidth="1"/>
    <col min="773" max="773" width="15.26953125" style="520" bestFit="1" customWidth="1"/>
    <col min="774" max="774" width="7.1796875" style="520" customWidth="1"/>
    <col min="775" max="1024" width="9.1796875" style="520"/>
    <col min="1025" max="1025" width="6" style="520" customWidth="1"/>
    <col min="1026" max="1026" width="4.54296875" style="520" customWidth="1"/>
    <col min="1027" max="1027" width="50.1796875" style="520" customWidth="1"/>
    <col min="1028" max="1028" width="15.26953125" style="520" customWidth="1"/>
    <col min="1029" max="1029" width="15.26953125" style="520" bestFit="1" customWidth="1"/>
    <col min="1030" max="1030" width="7.1796875" style="520" customWidth="1"/>
    <col min="1031" max="1280" width="9.1796875" style="520"/>
    <col min="1281" max="1281" width="6" style="520" customWidth="1"/>
    <col min="1282" max="1282" width="4.54296875" style="520" customWidth="1"/>
    <col min="1283" max="1283" width="50.1796875" style="520" customWidth="1"/>
    <col min="1284" max="1284" width="15.26953125" style="520" customWidth="1"/>
    <col min="1285" max="1285" width="15.26953125" style="520" bestFit="1" customWidth="1"/>
    <col min="1286" max="1286" width="7.1796875" style="520" customWidth="1"/>
    <col min="1287" max="1536" width="9.1796875" style="520"/>
    <col min="1537" max="1537" width="6" style="520" customWidth="1"/>
    <col min="1538" max="1538" width="4.54296875" style="520" customWidth="1"/>
    <col min="1539" max="1539" width="50.1796875" style="520" customWidth="1"/>
    <col min="1540" max="1540" width="15.26953125" style="520" customWidth="1"/>
    <col min="1541" max="1541" width="15.26953125" style="520" bestFit="1" customWidth="1"/>
    <col min="1542" max="1542" width="7.1796875" style="520" customWidth="1"/>
    <col min="1543" max="1792" width="9.1796875" style="520"/>
    <col min="1793" max="1793" width="6" style="520" customWidth="1"/>
    <col min="1794" max="1794" width="4.54296875" style="520" customWidth="1"/>
    <col min="1795" max="1795" width="50.1796875" style="520" customWidth="1"/>
    <col min="1796" max="1796" width="15.26953125" style="520" customWidth="1"/>
    <col min="1797" max="1797" width="15.26953125" style="520" bestFit="1" customWidth="1"/>
    <col min="1798" max="1798" width="7.1796875" style="520" customWidth="1"/>
    <col min="1799" max="2048" width="9.1796875" style="520"/>
    <col min="2049" max="2049" width="6" style="520" customWidth="1"/>
    <col min="2050" max="2050" width="4.54296875" style="520" customWidth="1"/>
    <col min="2051" max="2051" width="50.1796875" style="520" customWidth="1"/>
    <col min="2052" max="2052" width="15.26953125" style="520" customWidth="1"/>
    <col min="2053" max="2053" width="15.26953125" style="520" bestFit="1" customWidth="1"/>
    <col min="2054" max="2054" width="7.1796875" style="520" customWidth="1"/>
    <col min="2055" max="2304" width="9.1796875" style="520"/>
    <col min="2305" max="2305" width="6" style="520" customWidth="1"/>
    <col min="2306" max="2306" width="4.54296875" style="520" customWidth="1"/>
    <col min="2307" max="2307" width="50.1796875" style="520" customWidth="1"/>
    <col min="2308" max="2308" width="15.26953125" style="520" customWidth="1"/>
    <col min="2309" max="2309" width="15.26953125" style="520" bestFit="1" customWidth="1"/>
    <col min="2310" max="2310" width="7.1796875" style="520" customWidth="1"/>
    <col min="2311" max="2560" width="9.1796875" style="520"/>
    <col min="2561" max="2561" width="6" style="520" customWidth="1"/>
    <col min="2562" max="2562" width="4.54296875" style="520" customWidth="1"/>
    <col min="2563" max="2563" width="50.1796875" style="520" customWidth="1"/>
    <col min="2564" max="2564" width="15.26953125" style="520" customWidth="1"/>
    <col min="2565" max="2565" width="15.26953125" style="520" bestFit="1" customWidth="1"/>
    <col min="2566" max="2566" width="7.1796875" style="520" customWidth="1"/>
    <col min="2567" max="2816" width="9.1796875" style="520"/>
    <col min="2817" max="2817" width="6" style="520" customWidth="1"/>
    <col min="2818" max="2818" width="4.54296875" style="520" customWidth="1"/>
    <col min="2819" max="2819" width="50.1796875" style="520" customWidth="1"/>
    <col min="2820" max="2820" width="15.26953125" style="520" customWidth="1"/>
    <col min="2821" max="2821" width="15.26953125" style="520" bestFit="1" customWidth="1"/>
    <col min="2822" max="2822" width="7.1796875" style="520" customWidth="1"/>
    <col min="2823" max="3072" width="9.1796875" style="520"/>
    <col min="3073" max="3073" width="6" style="520" customWidth="1"/>
    <col min="3074" max="3074" width="4.54296875" style="520" customWidth="1"/>
    <col min="3075" max="3075" width="50.1796875" style="520" customWidth="1"/>
    <col min="3076" max="3076" width="15.26953125" style="520" customWidth="1"/>
    <col min="3077" max="3077" width="15.26953125" style="520" bestFit="1" customWidth="1"/>
    <col min="3078" max="3078" width="7.1796875" style="520" customWidth="1"/>
    <col min="3079" max="3328" width="9.1796875" style="520"/>
    <col min="3329" max="3329" width="6" style="520" customWidth="1"/>
    <col min="3330" max="3330" width="4.54296875" style="520" customWidth="1"/>
    <col min="3331" max="3331" width="50.1796875" style="520" customWidth="1"/>
    <col min="3332" max="3332" width="15.26953125" style="520" customWidth="1"/>
    <col min="3333" max="3333" width="15.26953125" style="520" bestFit="1" customWidth="1"/>
    <col min="3334" max="3334" width="7.1796875" style="520" customWidth="1"/>
    <col min="3335" max="3584" width="9.1796875" style="520"/>
    <col min="3585" max="3585" width="6" style="520" customWidth="1"/>
    <col min="3586" max="3586" width="4.54296875" style="520" customWidth="1"/>
    <col min="3587" max="3587" width="50.1796875" style="520" customWidth="1"/>
    <col min="3588" max="3588" width="15.26953125" style="520" customWidth="1"/>
    <col min="3589" max="3589" width="15.26953125" style="520" bestFit="1" customWidth="1"/>
    <col min="3590" max="3590" width="7.1796875" style="520" customWidth="1"/>
    <col min="3591" max="3840" width="9.1796875" style="520"/>
    <col min="3841" max="3841" width="6" style="520" customWidth="1"/>
    <col min="3842" max="3842" width="4.54296875" style="520" customWidth="1"/>
    <col min="3843" max="3843" width="50.1796875" style="520" customWidth="1"/>
    <col min="3844" max="3844" width="15.26953125" style="520" customWidth="1"/>
    <col min="3845" max="3845" width="15.26953125" style="520" bestFit="1" customWidth="1"/>
    <col min="3846" max="3846" width="7.1796875" style="520" customWidth="1"/>
    <col min="3847" max="4096" width="9.1796875" style="520"/>
    <col min="4097" max="4097" width="6" style="520" customWidth="1"/>
    <col min="4098" max="4098" width="4.54296875" style="520" customWidth="1"/>
    <col min="4099" max="4099" width="50.1796875" style="520" customWidth="1"/>
    <col min="4100" max="4100" width="15.26953125" style="520" customWidth="1"/>
    <col min="4101" max="4101" width="15.26953125" style="520" bestFit="1" customWidth="1"/>
    <col min="4102" max="4102" width="7.1796875" style="520" customWidth="1"/>
    <col min="4103" max="4352" width="9.1796875" style="520"/>
    <col min="4353" max="4353" width="6" style="520" customWidth="1"/>
    <col min="4354" max="4354" width="4.54296875" style="520" customWidth="1"/>
    <col min="4355" max="4355" width="50.1796875" style="520" customWidth="1"/>
    <col min="4356" max="4356" width="15.26953125" style="520" customWidth="1"/>
    <col min="4357" max="4357" width="15.26953125" style="520" bestFit="1" customWidth="1"/>
    <col min="4358" max="4358" width="7.1796875" style="520" customWidth="1"/>
    <col min="4359" max="4608" width="9.1796875" style="520"/>
    <col min="4609" max="4609" width="6" style="520" customWidth="1"/>
    <col min="4610" max="4610" width="4.54296875" style="520" customWidth="1"/>
    <col min="4611" max="4611" width="50.1796875" style="520" customWidth="1"/>
    <col min="4612" max="4612" width="15.26953125" style="520" customWidth="1"/>
    <col min="4613" max="4613" width="15.26953125" style="520" bestFit="1" customWidth="1"/>
    <col min="4614" max="4614" width="7.1796875" style="520" customWidth="1"/>
    <col min="4615" max="4864" width="9.1796875" style="520"/>
    <col min="4865" max="4865" width="6" style="520" customWidth="1"/>
    <col min="4866" max="4866" width="4.54296875" style="520" customWidth="1"/>
    <col min="4867" max="4867" width="50.1796875" style="520" customWidth="1"/>
    <col min="4868" max="4868" width="15.26953125" style="520" customWidth="1"/>
    <col min="4869" max="4869" width="15.26953125" style="520" bestFit="1" customWidth="1"/>
    <col min="4870" max="4870" width="7.1796875" style="520" customWidth="1"/>
    <col min="4871" max="5120" width="9.1796875" style="520"/>
    <col min="5121" max="5121" width="6" style="520" customWidth="1"/>
    <col min="5122" max="5122" width="4.54296875" style="520" customWidth="1"/>
    <col min="5123" max="5123" width="50.1796875" style="520" customWidth="1"/>
    <col min="5124" max="5124" width="15.26953125" style="520" customWidth="1"/>
    <col min="5125" max="5125" width="15.26953125" style="520" bestFit="1" customWidth="1"/>
    <col min="5126" max="5126" width="7.1796875" style="520" customWidth="1"/>
    <col min="5127" max="5376" width="9.1796875" style="520"/>
    <col min="5377" max="5377" width="6" style="520" customWidth="1"/>
    <col min="5378" max="5378" width="4.54296875" style="520" customWidth="1"/>
    <col min="5379" max="5379" width="50.1796875" style="520" customWidth="1"/>
    <col min="5380" max="5380" width="15.26953125" style="520" customWidth="1"/>
    <col min="5381" max="5381" width="15.26953125" style="520" bestFit="1" customWidth="1"/>
    <col min="5382" max="5382" width="7.1796875" style="520" customWidth="1"/>
    <col min="5383" max="5632" width="9.1796875" style="520"/>
    <col min="5633" max="5633" width="6" style="520" customWidth="1"/>
    <col min="5634" max="5634" width="4.54296875" style="520" customWidth="1"/>
    <col min="5635" max="5635" width="50.1796875" style="520" customWidth="1"/>
    <col min="5636" max="5636" width="15.26953125" style="520" customWidth="1"/>
    <col min="5637" max="5637" width="15.26953125" style="520" bestFit="1" customWidth="1"/>
    <col min="5638" max="5638" width="7.1796875" style="520" customWidth="1"/>
    <col min="5639" max="5888" width="9.1796875" style="520"/>
    <col min="5889" max="5889" width="6" style="520" customWidth="1"/>
    <col min="5890" max="5890" width="4.54296875" style="520" customWidth="1"/>
    <col min="5891" max="5891" width="50.1796875" style="520" customWidth="1"/>
    <col min="5892" max="5892" width="15.26953125" style="520" customWidth="1"/>
    <col min="5893" max="5893" width="15.26953125" style="520" bestFit="1" customWidth="1"/>
    <col min="5894" max="5894" width="7.1796875" style="520" customWidth="1"/>
    <col min="5895" max="6144" width="9.1796875" style="520"/>
    <col min="6145" max="6145" width="6" style="520" customWidth="1"/>
    <col min="6146" max="6146" width="4.54296875" style="520" customWidth="1"/>
    <col min="6147" max="6147" width="50.1796875" style="520" customWidth="1"/>
    <col min="6148" max="6148" width="15.26953125" style="520" customWidth="1"/>
    <col min="6149" max="6149" width="15.26953125" style="520" bestFit="1" customWidth="1"/>
    <col min="6150" max="6150" width="7.1796875" style="520" customWidth="1"/>
    <col min="6151" max="6400" width="9.1796875" style="520"/>
    <col min="6401" max="6401" width="6" style="520" customWidth="1"/>
    <col min="6402" max="6402" width="4.54296875" style="520" customWidth="1"/>
    <col min="6403" max="6403" width="50.1796875" style="520" customWidth="1"/>
    <col min="6404" max="6404" width="15.26953125" style="520" customWidth="1"/>
    <col min="6405" max="6405" width="15.26953125" style="520" bestFit="1" customWidth="1"/>
    <col min="6406" max="6406" width="7.1796875" style="520" customWidth="1"/>
    <col min="6407" max="6656" width="9.1796875" style="520"/>
    <col min="6657" max="6657" width="6" style="520" customWidth="1"/>
    <col min="6658" max="6658" width="4.54296875" style="520" customWidth="1"/>
    <col min="6659" max="6659" width="50.1796875" style="520" customWidth="1"/>
    <col min="6660" max="6660" width="15.26953125" style="520" customWidth="1"/>
    <col min="6661" max="6661" width="15.26953125" style="520" bestFit="1" customWidth="1"/>
    <col min="6662" max="6662" width="7.1796875" style="520" customWidth="1"/>
    <col min="6663" max="6912" width="9.1796875" style="520"/>
    <col min="6913" max="6913" width="6" style="520" customWidth="1"/>
    <col min="6914" max="6914" width="4.54296875" style="520" customWidth="1"/>
    <col min="6915" max="6915" width="50.1796875" style="520" customWidth="1"/>
    <col min="6916" max="6916" width="15.26953125" style="520" customWidth="1"/>
    <col min="6917" max="6917" width="15.26953125" style="520" bestFit="1" customWidth="1"/>
    <col min="6918" max="6918" width="7.1796875" style="520" customWidth="1"/>
    <col min="6919" max="7168" width="9.1796875" style="520"/>
    <col min="7169" max="7169" width="6" style="520" customWidth="1"/>
    <col min="7170" max="7170" width="4.54296875" style="520" customWidth="1"/>
    <col min="7171" max="7171" width="50.1796875" style="520" customWidth="1"/>
    <col min="7172" max="7172" width="15.26953125" style="520" customWidth="1"/>
    <col min="7173" max="7173" width="15.26953125" style="520" bestFit="1" customWidth="1"/>
    <col min="7174" max="7174" width="7.1796875" style="520" customWidth="1"/>
    <col min="7175" max="7424" width="9.1796875" style="520"/>
    <col min="7425" max="7425" width="6" style="520" customWidth="1"/>
    <col min="7426" max="7426" width="4.54296875" style="520" customWidth="1"/>
    <col min="7427" max="7427" width="50.1796875" style="520" customWidth="1"/>
    <col min="7428" max="7428" width="15.26953125" style="520" customWidth="1"/>
    <col min="7429" max="7429" width="15.26953125" style="520" bestFit="1" customWidth="1"/>
    <col min="7430" max="7430" width="7.1796875" style="520" customWidth="1"/>
    <col min="7431" max="7680" width="9.1796875" style="520"/>
    <col min="7681" max="7681" width="6" style="520" customWidth="1"/>
    <col min="7682" max="7682" width="4.54296875" style="520" customWidth="1"/>
    <col min="7683" max="7683" width="50.1796875" style="520" customWidth="1"/>
    <col min="7684" max="7684" width="15.26953125" style="520" customWidth="1"/>
    <col min="7685" max="7685" width="15.26953125" style="520" bestFit="1" customWidth="1"/>
    <col min="7686" max="7686" width="7.1796875" style="520" customWidth="1"/>
    <col min="7687" max="7936" width="9.1796875" style="520"/>
    <col min="7937" max="7937" width="6" style="520" customWidth="1"/>
    <col min="7938" max="7938" width="4.54296875" style="520" customWidth="1"/>
    <col min="7939" max="7939" width="50.1796875" style="520" customWidth="1"/>
    <col min="7940" max="7940" width="15.26953125" style="520" customWidth="1"/>
    <col min="7941" max="7941" width="15.26953125" style="520" bestFit="1" customWidth="1"/>
    <col min="7942" max="7942" width="7.1796875" style="520" customWidth="1"/>
    <col min="7943" max="8192" width="9.1796875" style="520"/>
    <col min="8193" max="8193" width="6" style="520" customWidth="1"/>
    <col min="8194" max="8194" width="4.54296875" style="520" customWidth="1"/>
    <col min="8195" max="8195" width="50.1796875" style="520" customWidth="1"/>
    <col min="8196" max="8196" width="15.26953125" style="520" customWidth="1"/>
    <col min="8197" max="8197" width="15.26953125" style="520" bestFit="1" customWidth="1"/>
    <col min="8198" max="8198" width="7.1796875" style="520" customWidth="1"/>
    <col min="8199" max="8448" width="9.1796875" style="520"/>
    <col min="8449" max="8449" width="6" style="520" customWidth="1"/>
    <col min="8450" max="8450" width="4.54296875" style="520" customWidth="1"/>
    <col min="8451" max="8451" width="50.1796875" style="520" customWidth="1"/>
    <col min="8452" max="8452" width="15.26953125" style="520" customWidth="1"/>
    <col min="8453" max="8453" width="15.26953125" style="520" bestFit="1" customWidth="1"/>
    <col min="8454" max="8454" width="7.1796875" style="520" customWidth="1"/>
    <col min="8455" max="8704" width="9.1796875" style="520"/>
    <col min="8705" max="8705" width="6" style="520" customWidth="1"/>
    <col min="8706" max="8706" width="4.54296875" style="520" customWidth="1"/>
    <col min="8707" max="8707" width="50.1796875" style="520" customWidth="1"/>
    <col min="8708" max="8708" width="15.26953125" style="520" customWidth="1"/>
    <col min="8709" max="8709" width="15.26953125" style="520" bestFit="1" customWidth="1"/>
    <col min="8710" max="8710" width="7.1796875" style="520" customWidth="1"/>
    <col min="8711" max="8960" width="9.1796875" style="520"/>
    <col min="8961" max="8961" width="6" style="520" customWidth="1"/>
    <col min="8962" max="8962" width="4.54296875" style="520" customWidth="1"/>
    <col min="8963" max="8963" width="50.1796875" style="520" customWidth="1"/>
    <col min="8964" max="8964" width="15.26953125" style="520" customWidth="1"/>
    <col min="8965" max="8965" width="15.26953125" style="520" bestFit="1" customWidth="1"/>
    <col min="8966" max="8966" width="7.1796875" style="520" customWidth="1"/>
    <col min="8967" max="9216" width="9.1796875" style="520"/>
    <col min="9217" max="9217" width="6" style="520" customWidth="1"/>
    <col min="9218" max="9218" width="4.54296875" style="520" customWidth="1"/>
    <col min="9219" max="9219" width="50.1796875" style="520" customWidth="1"/>
    <col min="9220" max="9220" width="15.26953125" style="520" customWidth="1"/>
    <col min="9221" max="9221" width="15.26953125" style="520" bestFit="1" customWidth="1"/>
    <col min="9222" max="9222" width="7.1796875" style="520" customWidth="1"/>
    <col min="9223" max="9472" width="9.1796875" style="520"/>
    <col min="9473" max="9473" width="6" style="520" customWidth="1"/>
    <col min="9474" max="9474" width="4.54296875" style="520" customWidth="1"/>
    <col min="9475" max="9475" width="50.1796875" style="520" customWidth="1"/>
    <col min="9476" max="9476" width="15.26953125" style="520" customWidth="1"/>
    <col min="9477" max="9477" width="15.26953125" style="520" bestFit="1" customWidth="1"/>
    <col min="9478" max="9478" width="7.1796875" style="520" customWidth="1"/>
    <col min="9479" max="9728" width="9.1796875" style="520"/>
    <col min="9729" max="9729" width="6" style="520" customWidth="1"/>
    <col min="9730" max="9730" width="4.54296875" style="520" customWidth="1"/>
    <col min="9731" max="9731" width="50.1796875" style="520" customWidth="1"/>
    <col min="9732" max="9732" width="15.26953125" style="520" customWidth="1"/>
    <col min="9733" max="9733" width="15.26953125" style="520" bestFit="1" customWidth="1"/>
    <col min="9734" max="9734" width="7.1796875" style="520" customWidth="1"/>
    <col min="9735" max="9984" width="9.1796875" style="520"/>
    <col min="9985" max="9985" width="6" style="520" customWidth="1"/>
    <col min="9986" max="9986" width="4.54296875" style="520" customWidth="1"/>
    <col min="9987" max="9987" width="50.1796875" style="520" customWidth="1"/>
    <col min="9988" max="9988" width="15.26953125" style="520" customWidth="1"/>
    <col min="9989" max="9989" width="15.26953125" style="520" bestFit="1" customWidth="1"/>
    <col min="9990" max="9990" width="7.1796875" style="520" customWidth="1"/>
    <col min="9991" max="10240" width="9.1796875" style="520"/>
    <col min="10241" max="10241" width="6" style="520" customWidth="1"/>
    <col min="10242" max="10242" width="4.54296875" style="520" customWidth="1"/>
    <col min="10243" max="10243" width="50.1796875" style="520" customWidth="1"/>
    <col min="10244" max="10244" width="15.26953125" style="520" customWidth="1"/>
    <col min="10245" max="10245" width="15.26953125" style="520" bestFit="1" customWidth="1"/>
    <col min="10246" max="10246" width="7.1796875" style="520" customWidth="1"/>
    <col min="10247" max="10496" width="9.1796875" style="520"/>
    <col min="10497" max="10497" width="6" style="520" customWidth="1"/>
    <col min="10498" max="10498" width="4.54296875" style="520" customWidth="1"/>
    <col min="10499" max="10499" width="50.1796875" style="520" customWidth="1"/>
    <col min="10500" max="10500" width="15.26953125" style="520" customWidth="1"/>
    <col min="10501" max="10501" width="15.26953125" style="520" bestFit="1" customWidth="1"/>
    <col min="10502" max="10502" width="7.1796875" style="520" customWidth="1"/>
    <col min="10503" max="10752" width="9.1796875" style="520"/>
    <col min="10753" max="10753" width="6" style="520" customWidth="1"/>
    <col min="10754" max="10754" width="4.54296875" style="520" customWidth="1"/>
    <col min="10755" max="10755" width="50.1796875" style="520" customWidth="1"/>
    <col min="10756" max="10756" width="15.26953125" style="520" customWidth="1"/>
    <col min="10757" max="10757" width="15.26953125" style="520" bestFit="1" customWidth="1"/>
    <col min="10758" max="10758" width="7.1796875" style="520" customWidth="1"/>
    <col min="10759" max="11008" width="9.1796875" style="520"/>
    <col min="11009" max="11009" width="6" style="520" customWidth="1"/>
    <col min="11010" max="11010" width="4.54296875" style="520" customWidth="1"/>
    <col min="11011" max="11011" width="50.1796875" style="520" customWidth="1"/>
    <col min="11012" max="11012" width="15.26953125" style="520" customWidth="1"/>
    <col min="11013" max="11013" width="15.26953125" style="520" bestFit="1" customWidth="1"/>
    <col min="11014" max="11014" width="7.1796875" style="520" customWidth="1"/>
    <col min="11015" max="11264" width="9.1796875" style="520"/>
    <col min="11265" max="11265" width="6" style="520" customWidth="1"/>
    <col min="11266" max="11266" width="4.54296875" style="520" customWidth="1"/>
    <col min="11267" max="11267" width="50.1796875" style="520" customWidth="1"/>
    <col min="11268" max="11268" width="15.26953125" style="520" customWidth="1"/>
    <col min="11269" max="11269" width="15.26953125" style="520" bestFit="1" customWidth="1"/>
    <col min="11270" max="11270" width="7.1796875" style="520" customWidth="1"/>
    <col min="11271" max="11520" width="9.1796875" style="520"/>
    <col min="11521" max="11521" width="6" style="520" customWidth="1"/>
    <col min="11522" max="11522" width="4.54296875" style="520" customWidth="1"/>
    <col min="11523" max="11523" width="50.1796875" style="520" customWidth="1"/>
    <col min="11524" max="11524" width="15.26953125" style="520" customWidth="1"/>
    <col min="11525" max="11525" width="15.26953125" style="520" bestFit="1" customWidth="1"/>
    <col min="11526" max="11526" width="7.1796875" style="520" customWidth="1"/>
    <col min="11527" max="11776" width="9.1796875" style="520"/>
    <col min="11777" max="11777" width="6" style="520" customWidth="1"/>
    <col min="11778" max="11778" width="4.54296875" style="520" customWidth="1"/>
    <col min="11779" max="11779" width="50.1796875" style="520" customWidth="1"/>
    <col min="11780" max="11780" width="15.26953125" style="520" customWidth="1"/>
    <col min="11781" max="11781" width="15.26953125" style="520" bestFit="1" customWidth="1"/>
    <col min="11782" max="11782" width="7.1796875" style="520" customWidth="1"/>
    <col min="11783" max="12032" width="9.1796875" style="520"/>
    <col min="12033" max="12033" width="6" style="520" customWidth="1"/>
    <col min="12034" max="12034" width="4.54296875" style="520" customWidth="1"/>
    <col min="12035" max="12035" width="50.1796875" style="520" customWidth="1"/>
    <col min="12036" max="12036" width="15.26953125" style="520" customWidth="1"/>
    <col min="12037" max="12037" width="15.26953125" style="520" bestFit="1" customWidth="1"/>
    <col min="12038" max="12038" width="7.1796875" style="520" customWidth="1"/>
    <col min="12039" max="12288" width="9.1796875" style="520"/>
    <col min="12289" max="12289" width="6" style="520" customWidth="1"/>
    <col min="12290" max="12290" width="4.54296875" style="520" customWidth="1"/>
    <col min="12291" max="12291" width="50.1796875" style="520" customWidth="1"/>
    <col min="12292" max="12292" width="15.26953125" style="520" customWidth="1"/>
    <col min="12293" max="12293" width="15.26953125" style="520" bestFit="1" customWidth="1"/>
    <col min="12294" max="12294" width="7.1796875" style="520" customWidth="1"/>
    <col min="12295" max="12544" width="9.1796875" style="520"/>
    <col min="12545" max="12545" width="6" style="520" customWidth="1"/>
    <col min="12546" max="12546" width="4.54296875" style="520" customWidth="1"/>
    <col min="12547" max="12547" width="50.1796875" style="520" customWidth="1"/>
    <col min="12548" max="12548" width="15.26953125" style="520" customWidth="1"/>
    <col min="12549" max="12549" width="15.26953125" style="520" bestFit="1" customWidth="1"/>
    <col min="12550" max="12550" width="7.1796875" style="520" customWidth="1"/>
    <col min="12551" max="12800" width="9.1796875" style="520"/>
    <col min="12801" max="12801" width="6" style="520" customWidth="1"/>
    <col min="12802" max="12802" width="4.54296875" style="520" customWidth="1"/>
    <col min="12803" max="12803" width="50.1796875" style="520" customWidth="1"/>
    <col min="12804" max="12804" width="15.26953125" style="520" customWidth="1"/>
    <col min="12805" max="12805" width="15.26953125" style="520" bestFit="1" customWidth="1"/>
    <col min="12806" max="12806" width="7.1796875" style="520" customWidth="1"/>
    <col min="12807" max="13056" width="9.1796875" style="520"/>
    <col min="13057" max="13057" width="6" style="520" customWidth="1"/>
    <col min="13058" max="13058" width="4.54296875" style="520" customWidth="1"/>
    <col min="13059" max="13059" width="50.1796875" style="520" customWidth="1"/>
    <col min="13060" max="13060" width="15.26953125" style="520" customWidth="1"/>
    <col min="13061" max="13061" width="15.26953125" style="520" bestFit="1" customWidth="1"/>
    <col min="13062" max="13062" width="7.1796875" style="520" customWidth="1"/>
    <col min="13063" max="13312" width="9.1796875" style="520"/>
    <col min="13313" max="13313" width="6" style="520" customWidth="1"/>
    <col min="13314" max="13314" width="4.54296875" style="520" customWidth="1"/>
    <col min="13315" max="13315" width="50.1796875" style="520" customWidth="1"/>
    <col min="13316" max="13316" width="15.26953125" style="520" customWidth="1"/>
    <col min="13317" max="13317" width="15.26953125" style="520" bestFit="1" customWidth="1"/>
    <col min="13318" max="13318" width="7.1796875" style="520" customWidth="1"/>
    <col min="13319" max="13568" width="9.1796875" style="520"/>
    <col min="13569" max="13569" width="6" style="520" customWidth="1"/>
    <col min="13570" max="13570" width="4.54296875" style="520" customWidth="1"/>
    <col min="13571" max="13571" width="50.1796875" style="520" customWidth="1"/>
    <col min="13572" max="13572" width="15.26953125" style="520" customWidth="1"/>
    <col min="13573" max="13573" width="15.26953125" style="520" bestFit="1" customWidth="1"/>
    <col min="13574" max="13574" width="7.1796875" style="520" customWidth="1"/>
    <col min="13575" max="13824" width="9.1796875" style="520"/>
    <col min="13825" max="13825" width="6" style="520" customWidth="1"/>
    <col min="13826" max="13826" width="4.54296875" style="520" customWidth="1"/>
    <col min="13827" max="13827" width="50.1796875" style="520" customWidth="1"/>
    <col min="13828" max="13828" width="15.26953125" style="520" customWidth="1"/>
    <col min="13829" max="13829" width="15.26953125" style="520" bestFit="1" customWidth="1"/>
    <col min="13830" max="13830" width="7.1796875" style="520" customWidth="1"/>
    <col min="13831" max="14080" width="9.1796875" style="520"/>
    <col min="14081" max="14081" width="6" style="520" customWidth="1"/>
    <col min="14082" max="14082" width="4.54296875" style="520" customWidth="1"/>
    <col min="14083" max="14083" width="50.1796875" style="520" customWidth="1"/>
    <col min="14084" max="14084" width="15.26953125" style="520" customWidth="1"/>
    <col min="14085" max="14085" width="15.26953125" style="520" bestFit="1" customWidth="1"/>
    <col min="14086" max="14086" width="7.1796875" style="520" customWidth="1"/>
    <col min="14087" max="14336" width="9.1796875" style="520"/>
    <col min="14337" max="14337" width="6" style="520" customWidth="1"/>
    <col min="14338" max="14338" width="4.54296875" style="520" customWidth="1"/>
    <col min="14339" max="14339" width="50.1796875" style="520" customWidth="1"/>
    <col min="14340" max="14340" width="15.26953125" style="520" customWidth="1"/>
    <col min="14341" max="14341" width="15.26953125" style="520" bestFit="1" customWidth="1"/>
    <col min="14342" max="14342" width="7.1796875" style="520" customWidth="1"/>
    <col min="14343" max="14592" width="9.1796875" style="520"/>
    <col min="14593" max="14593" width="6" style="520" customWidth="1"/>
    <col min="14594" max="14594" width="4.54296875" style="520" customWidth="1"/>
    <col min="14595" max="14595" width="50.1796875" style="520" customWidth="1"/>
    <col min="14596" max="14596" width="15.26953125" style="520" customWidth="1"/>
    <col min="14597" max="14597" width="15.26953125" style="520" bestFit="1" customWidth="1"/>
    <col min="14598" max="14598" width="7.1796875" style="520" customWidth="1"/>
    <col min="14599" max="14848" width="9.1796875" style="520"/>
    <col min="14849" max="14849" width="6" style="520" customWidth="1"/>
    <col min="14850" max="14850" width="4.54296875" style="520" customWidth="1"/>
    <col min="14851" max="14851" width="50.1796875" style="520" customWidth="1"/>
    <col min="14852" max="14852" width="15.26953125" style="520" customWidth="1"/>
    <col min="14853" max="14853" width="15.26953125" style="520" bestFit="1" customWidth="1"/>
    <col min="14854" max="14854" width="7.1796875" style="520" customWidth="1"/>
    <col min="14855" max="15104" width="9.1796875" style="520"/>
    <col min="15105" max="15105" width="6" style="520" customWidth="1"/>
    <col min="15106" max="15106" width="4.54296875" style="520" customWidth="1"/>
    <col min="15107" max="15107" width="50.1796875" style="520" customWidth="1"/>
    <col min="15108" max="15108" width="15.26953125" style="520" customWidth="1"/>
    <col min="15109" max="15109" width="15.26953125" style="520" bestFit="1" customWidth="1"/>
    <col min="15110" max="15110" width="7.1796875" style="520" customWidth="1"/>
    <col min="15111" max="15360" width="9.1796875" style="520"/>
    <col min="15361" max="15361" width="6" style="520" customWidth="1"/>
    <col min="15362" max="15362" width="4.54296875" style="520" customWidth="1"/>
    <col min="15363" max="15363" width="50.1796875" style="520" customWidth="1"/>
    <col min="15364" max="15364" width="15.26953125" style="520" customWidth="1"/>
    <col min="15365" max="15365" width="15.26953125" style="520" bestFit="1" customWidth="1"/>
    <col min="15366" max="15366" width="7.1796875" style="520" customWidth="1"/>
    <col min="15367" max="15616" width="9.1796875" style="520"/>
    <col min="15617" max="15617" width="6" style="520" customWidth="1"/>
    <col min="15618" max="15618" width="4.54296875" style="520" customWidth="1"/>
    <col min="15619" max="15619" width="50.1796875" style="520" customWidth="1"/>
    <col min="15620" max="15620" width="15.26953125" style="520" customWidth="1"/>
    <col min="15621" max="15621" width="15.26953125" style="520" bestFit="1" customWidth="1"/>
    <col min="15622" max="15622" width="7.1796875" style="520" customWidth="1"/>
    <col min="15623" max="15872" width="9.1796875" style="520"/>
    <col min="15873" max="15873" width="6" style="520" customWidth="1"/>
    <col min="15874" max="15874" width="4.54296875" style="520" customWidth="1"/>
    <col min="15875" max="15875" width="50.1796875" style="520" customWidth="1"/>
    <col min="15876" max="15876" width="15.26953125" style="520" customWidth="1"/>
    <col min="15877" max="15877" width="15.26953125" style="520" bestFit="1" customWidth="1"/>
    <col min="15878" max="15878" width="7.1796875" style="520" customWidth="1"/>
    <col min="15879" max="16128" width="9.1796875" style="520"/>
    <col min="16129" max="16129" width="6" style="520" customWidth="1"/>
    <col min="16130" max="16130" width="4.54296875" style="520" customWidth="1"/>
    <col min="16131" max="16131" width="50.1796875" style="520" customWidth="1"/>
    <col min="16132" max="16132" width="15.26953125" style="520" customWidth="1"/>
    <col min="16133" max="16133" width="15.26953125" style="520" bestFit="1" customWidth="1"/>
    <col min="16134" max="16134" width="7.1796875" style="520" customWidth="1"/>
    <col min="16135" max="16384" width="9.1796875" style="520"/>
  </cols>
  <sheetData>
    <row r="1" spans="1:6" s="510" customFormat="1" ht="15.5">
      <c r="D1" s="511" t="s">
        <v>196</v>
      </c>
    </row>
    <row r="2" spans="1:6" s="510" customFormat="1" ht="15.5">
      <c r="D2" s="511" t="s">
        <v>223</v>
      </c>
    </row>
    <row r="3" spans="1:6" s="501" customFormat="1" ht="15.5">
      <c r="A3" s="512" t="s">
        <v>224</v>
      </c>
      <c r="B3" s="512"/>
      <c r="C3" s="513"/>
      <c r="D3" s="514" t="s">
        <v>263</v>
      </c>
    </row>
    <row r="4" spans="1:6" s="501" customFormat="1" ht="15.5">
      <c r="A4" s="512"/>
      <c r="B4" s="512"/>
      <c r="C4" s="513"/>
      <c r="D4" s="515"/>
    </row>
    <row r="5" spans="1:6" s="510" customFormat="1" ht="15.75" customHeight="1">
      <c r="A5" s="516" t="s">
        <v>197</v>
      </c>
      <c r="B5" s="516"/>
      <c r="C5" s="517"/>
      <c r="D5" s="517"/>
    </row>
    <row r="6" spans="1:6" s="510" customFormat="1" ht="15.5">
      <c r="A6" s="516" t="s">
        <v>198</v>
      </c>
      <c r="B6" s="516"/>
      <c r="C6" s="518"/>
      <c r="D6" s="518"/>
    </row>
    <row r="7" spans="1:6">
      <c r="D7" s="521"/>
    </row>
    <row r="8" spans="1:6" s="526" customFormat="1" ht="16.149999999999999" customHeight="1">
      <c r="A8" s="522" t="s">
        <v>199</v>
      </c>
      <c r="B8" s="523"/>
      <c r="C8" s="524"/>
      <c r="D8" s="525" t="s">
        <v>200</v>
      </c>
      <c r="E8" s="526" t="s">
        <v>201</v>
      </c>
      <c r="F8" s="527" t="s">
        <v>56</v>
      </c>
    </row>
    <row r="9" spans="1:6" s="526" customFormat="1" ht="18.649999999999999" customHeight="1">
      <c r="A9" s="528" t="s">
        <v>202</v>
      </c>
      <c r="B9" s="529"/>
      <c r="C9" s="530" t="s">
        <v>203</v>
      </c>
      <c r="D9" s="531" t="s">
        <v>58</v>
      </c>
      <c r="E9" s="526" t="s">
        <v>225</v>
      </c>
      <c r="F9" s="527" t="s">
        <v>204</v>
      </c>
    </row>
    <row r="10" spans="1:6" s="536" customFormat="1" ht="15.5">
      <c r="A10" s="532"/>
      <c r="B10" s="533"/>
      <c r="C10" s="534"/>
      <c r="D10" s="535"/>
    </row>
    <row r="11" spans="1:6" s="542" customFormat="1" ht="23.5" customHeight="1">
      <c r="A11" s="537"/>
      <c r="B11" s="538" t="s">
        <v>205</v>
      </c>
      <c r="C11" s="539"/>
      <c r="D11" s="540">
        <f>+D12+D14++D15</f>
        <v>962100</v>
      </c>
      <c r="E11" s="540">
        <f>+E12+E14++E15</f>
        <v>0</v>
      </c>
      <c r="F11" s="541">
        <f>+E11/D11*100</f>
        <v>0</v>
      </c>
    </row>
    <row r="12" spans="1:6" s="510" customFormat="1" ht="20.5" customHeight="1">
      <c r="A12" s="543">
        <v>3500</v>
      </c>
      <c r="B12" s="544" t="s">
        <v>206</v>
      </c>
      <c r="C12" s="545"/>
      <c r="D12" s="546">
        <f>SUM(D13:D13)</f>
        <v>950000</v>
      </c>
      <c r="E12" s="546">
        <f>SUM(E13:E13)</f>
        <v>0</v>
      </c>
      <c r="F12" s="547">
        <f>+E12/D12*100</f>
        <v>0</v>
      </c>
    </row>
    <row r="13" spans="1:6" s="510" customFormat="1" ht="28.5">
      <c r="A13" s="548"/>
      <c r="B13" s="549" t="s">
        <v>207</v>
      </c>
      <c r="C13" s="550" t="s">
        <v>208</v>
      </c>
      <c r="D13" s="551">
        <v>950000</v>
      </c>
      <c r="E13" s="551"/>
    </row>
    <row r="14" spans="1:6" s="526" customFormat="1" ht="15.5">
      <c r="A14" s="552">
        <v>3818</v>
      </c>
      <c r="B14" s="756" t="s">
        <v>209</v>
      </c>
      <c r="C14" s="757"/>
      <c r="D14" s="546">
        <f>5543+6457</f>
        <v>12000</v>
      </c>
      <c r="E14" s="546">
        <v>0</v>
      </c>
      <c r="F14" s="547">
        <f>+E14/D14*100</f>
        <v>0</v>
      </c>
    </row>
    <row r="15" spans="1:6" s="526" customFormat="1" ht="15.5">
      <c r="A15" s="552">
        <v>6550</v>
      </c>
      <c r="B15" s="758" t="s">
        <v>210</v>
      </c>
      <c r="C15" s="759"/>
      <c r="D15" s="546">
        <v>100</v>
      </c>
      <c r="E15" s="546"/>
      <c r="F15" s="547"/>
    </row>
    <row r="16" spans="1:6" s="510" customFormat="1" ht="15.5">
      <c r="A16" s="553"/>
      <c r="B16" s="554"/>
      <c r="D16" s="555"/>
      <c r="E16" s="555"/>
    </row>
    <row r="17" spans="1:6" s="542" customFormat="1" ht="21.65" customHeight="1">
      <c r="A17" s="556"/>
      <c r="B17" s="760" t="s">
        <v>211</v>
      </c>
      <c r="C17" s="761"/>
      <c r="D17" s="557">
        <f>+D18+D20</f>
        <v>953833</v>
      </c>
      <c r="E17" s="557">
        <f>+E18+E20</f>
        <v>0</v>
      </c>
    </row>
    <row r="18" spans="1:6" s="559" customFormat="1" ht="18">
      <c r="A18" s="552">
        <v>4500</v>
      </c>
      <c r="B18" s="762" t="s">
        <v>212</v>
      </c>
      <c r="C18" s="763"/>
      <c r="D18" s="558">
        <f>SUM(D19:D19)</f>
        <v>915000</v>
      </c>
      <c r="E18" s="558">
        <f>SUM(E19:E19)</f>
        <v>0</v>
      </c>
      <c r="F18" s="547">
        <f>+E18/D18*100</f>
        <v>0</v>
      </c>
    </row>
    <row r="19" spans="1:6" s="510" customFormat="1" ht="42.5">
      <c r="A19" s="560">
        <v>4500</v>
      </c>
      <c r="B19" s="549" t="s">
        <v>213</v>
      </c>
      <c r="C19" s="561" t="s">
        <v>264</v>
      </c>
      <c r="D19" s="551">
        <v>915000</v>
      </c>
      <c r="E19" s="551"/>
    </row>
    <row r="20" spans="1:6" s="559" customFormat="1" ht="19.149999999999999" customHeight="1">
      <c r="A20" s="552">
        <v>5</v>
      </c>
      <c r="B20" s="562" t="s">
        <v>214</v>
      </c>
      <c r="C20" s="563"/>
      <c r="D20" s="558">
        <f>+D21+D26</f>
        <v>38833</v>
      </c>
      <c r="E20" s="558">
        <f>+E21+E26</f>
        <v>0</v>
      </c>
      <c r="F20" s="547">
        <f t="shared" ref="F20:F26" si="0">+E20/D20*100</f>
        <v>0</v>
      </c>
    </row>
    <row r="21" spans="1:6" s="510" customFormat="1" ht="17.5" customHeight="1">
      <c r="A21" s="552">
        <v>50</v>
      </c>
      <c r="B21" s="564" t="s">
        <v>215</v>
      </c>
      <c r="C21" s="565"/>
      <c r="D21" s="546">
        <f>+D22+D23</f>
        <v>31587</v>
      </c>
      <c r="E21" s="546">
        <f>+E22+E23</f>
        <v>0</v>
      </c>
      <c r="F21" s="547">
        <f t="shared" si="0"/>
        <v>0</v>
      </c>
    </row>
    <row r="22" spans="1:6" s="510" customFormat="1" ht="15.65" customHeight="1">
      <c r="A22" s="552">
        <v>500</v>
      </c>
      <c r="B22" s="564" t="s">
        <v>216</v>
      </c>
      <c r="C22" s="565"/>
      <c r="D22" s="546">
        <v>23320</v>
      </c>
      <c r="E22" s="546"/>
      <c r="F22" s="547">
        <f t="shared" si="0"/>
        <v>0</v>
      </c>
    </row>
    <row r="23" spans="1:6" s="526" customFormat="1" ht="16.149999999999999" customHeight="1">
      <c r="A23" s="552">
        <v>506</v>
      </c>
      <c r="B23" s="756" t="s">
        <v>217</v>
      </c>
      <c r="C23" s="757"/>
      <c r="D23" s="546">
        <f>+D24+D25</f>
        <v>8267</v>
      </c>
      <c r="E23" s="546">
        <f>+E24+E25</f>
        <v>0</v>
      </c>
      <c r="F23" s="547">
        <f t="shared" si="0"/>
        <v>0</v>
      </c>
    </row>
    <row r="24" spans="1:6" s="510" customFormat="1" ht="13.9" customHeight="1">
      <c r="A24" s="560"/>
      <c r="B24" s="566" t="s">
        <v>207</v>
      </c>
      <c r="C24" s="567" t="s">
        <v>218</v>
      </c>
      <c r="D24" s="551">
        <v>7696</v>
      </c>
      <c r="E24" s="551"/>
      <c r="F24" s="547">
        <f t="shared" si="0"/>
        <v>0</v>
      </c>
    </row>
    <row r="25" spans="1:6" s="510" customFormat="1" ht="15.5">
      <c r="A25" s="560"/>
      <c r="B25" s="568"/>
      <c r="C25" s="567" t="s">
        <v>219</v>
      </c>
      <c r="D25" s="551">
        <v>571</v>
      </c>
      <c r="E25" s="551"/>
      <c r="F25" s="547">
        <f t="shared" si="0"/>
        <v>0</v>
      </c>
    </row>
    <row r="26" spans="1:6" s="510" customFormat="1" ht="15.5">
      <c r="A26" s="552">
        <v>55</v>
      </c>
      <c r="B26" s="756" t="s">
        <v>220</v>
      </c>
      <c r="C26" s="757"/>
      <c r="D26" s="546">
        <v>7246</v>
      </c>
      <c r="E26" s="546"/>
      <c r="F26" s="547">
        <f t="shared" si="0"/>
        <v>0</v>
      </c>
    </row>
    <row r="27" spans="1:6" s="510" customFormat="1" ht="15.5">
      <c r="A27" s="569"/>
      <c r="B27" s="570"/>
      <c r="C27" s="570"/>
      <c r="D27" s="565"/>
      <c r="E27" s="565"/>
    </row>
    <row r="28" spans="1:6" s="510" customFormat="1" ht="15.65" customHeight="1">
      <c r="A28" s="571" t="s">
        <v>221</v>
      </c>
      <c r="B28" s="822" t="s">
        <v>222</v>
      </c>
      <c r="C28" s="822"/>
      <c r="D28" s="546">
        <f>+D11-D17</f>
        <v>8267</v>
      </c>
      <c r="E28" s="546">
        <f>+E11-E17</f>
        <v>0</v>
      </c>
    </row>
    <row r="29" spans="1:6" s="510" customFormat="1" ht="15.5">
      <c r="A29" s="548"/>
      <c r="B29" s="572"/>
      <c r="C29" s="573"/>
      <c r="D29" s="551"/>
      <c r="E29" s="551"/>
    </row>
    <row r="30" spans="1:6" s="501" customFormat="1">
      <c r="A30" s="574"/>
      <c r="B30" s="575"/>
      <c r="D30" s="576"/>
    </row>
    <row r="31" spans="1:6" s="501" customFormat="1">
      <c r="A31" s="574"/>
      <c r="D31" s="576"/>
    </row>
    <row r="32" spans="1:6" s="501" customFormat="1">
      <c r="A32" s="574"/>
      <c r="D32" s="577"/>
    </row>
    <row r="33" spans="1:4" s="501" customFormat="1">
      <c r="A33" s="574"/>
      <c r="B33" s="575"/>
      <c r="D33" s="578"/>
    </row>
    <row r="34" spans="1:4" s="501" customFormat="1">
      <c r="A34" s="574"/>
      <c r="B34" s="501" t="s">
        <v>189</v>
      </c>
      <c r="D34" s="578"/>
    </row>
    <row r="35" spans="1:4" s="501" customFormat="1">
      <c r="A35" s="574"/>
      <c r="B35" s="501" t="s">
        <v>190</v>
      </c>
      <c r="D35" s="578"/>
    </row>
    <row r="36" spans="1:4" s="501" customFormat="1">
      <c r="A36" s="574"/>
      <c r="B36" s="575"/>
      <c r="D36" s="578"/>
    </row>
    <row r="37" spans="1:4" s="501" customFormat="1">
      <c r="A37" s="574"/>
      <c r="B37" s="575"/>
      <c r="D37" s="578"/>
    </row>
    <row r="38" spans="1:4" s="501" customFormat="1">
      <c r="A38" s="574"/>
      <c r="B38" s="575"/>
      <c r="D38" s="578"/>
    </row>
    <row r="39" spans="1:4" s="501" customFormat="1">
      <c r="A39" s="574"/>
      <c r="B39" s="575"/>
      <c r="D39" s="578"/>
    </row>
    <row r="40" spans="1:4" s="501" customFormat="1">
      <c r="A40" s="574"/>
      <c r="B40" s="575"/>
      <c r="D40" s="578"/>
    </row>
    <row r="41" spans="1:4" s="501" customFormat="1">
      <c r="A41" s="519"/>
      <c r="B41" s="579"/>
      <c r="D41" s="578"/>
    </row>
    <row r="42" spans="1:4" s="501" customFormat="1">
      <c r="A42" s="519"/>
      <c r="B42" s="579"/>
      <c r="D42" s="578"/>
    </row>
    <row r="43" spans="1:4" s="501" customFormat="1">
      <c r="A43" s="519"/>
      <c r="B43" s="579"/>
      <c r="D43" s="578"/>
    </row>
    <row r="44" spans="1:4" s="501" customFormat="1">
      <c r="A44" s="519"/>
      <c r="B44" s="579"/>
      <c r="D44" s="578"/>
    </row>
    <row r="45" spans="1:4" s="501" customFormat="1">
      <c r="A45" s="519"/>
      <c r="B45" s="579"/>
      <c r="D45" s="578"/>
    </row>
    <row r="46" spans="1:4" s="501" customFormat="1">
      <c r="A46" s="519"/>
      <c r="B46" s="579"/>
      <c r="D46" s="578"/>
    </row>
    <row r="47" spans="1:4" s="501" customFormat="1">
      <c r="A47" s="519"/>
      <c r="B47" s="579"/>
      <c r="D47" s="578"/>
    </row>
    <row r="48" spans="1:4" s="501" customFormat="1">
      <c r="A48" s="519"/>
      <c r="B48" s="579"/>
      <c r="D48" s="578"/>
    </row>
    <row r="49" spans="1:4" s="501" customFormat="1">
      <c r="A49" s="519"/>
      <c r="B49" s="579"/>
      <c r="D49" s="578"/>
    </row>
    <row r="50" spans="1:4" s="501" customFormat="1">
      <c r="A50" s="519"/>
      <c r="B50" s="579"/>
      <c r="D50" s="578"/>
    </row>
    <row r="51" spans="1:4" s="501" customFormat="1">
      <c r="A51" s="519"/>
      <c r="B51" s="579"/>
      <c r="D51" s="578"/>
    </row>
    <row r="52" spans="1:4" s="501" customFormat="1">
      <c r="A52" s="519"/>
      <c r="B52" s="579"/>
      <c r="D52" s="578"/>
    </row>
    <row r="53" spans="1:4" s="501" customFormat="1">
      <c r="A53" s="519"/>
      <c r="B53" s="579"/>
      <c r="D53" s="578"/>
    </row>
    <row r="54" spans="1:4" s="501" customFormat="1">
      <c r="A54" s="519"/>
      <c r="B54" s="579"/>
      <c r="D54" s="578"/>
    </row>
    <row r="55" spans="1:4" s="501" customFormat="1">
      <c r="A55" s="519"/>
      <c r="B55" s="579"/>
      <c r="D55" s="578"/>
    </row>
    <row r="56" spans="1:4" s="501" customFormat="1">
      <c r="A56" s="519"/>
      <c r="B56" s="579"/>
      <c r="D56" s="578"/>
    </row>
    <row r="57" spans="1:4" s="501" customFormat="1">
      <c r="A57" s="519"/>
      <c r="B57" s="579"/>
      <c r="D57" s="578"/>
    </row>
    <row r="58" spans="1:4" s="501" customFormat="1">
      <c r="A58" s="519"/>
      <c r="B58" s="579"/>
      <c r="D58" s="578"/>
    </row>
    <row r="59" spans="1:4" s="501" customFormat="1">
      <c r="A59" s="519"/>
      <c r="B59" s="579"/>
      <c r="D59" s="578"/>
    </row>
    <row r="60" spans="1:4" s="501" customFormat="1">
      <c r="A60" s="519"/>
      <c r="B60" s="579"/>
      <c r="D60" s="578"/>
    </row>
    <row r="61" spans="1:4" s="501" customFormat="1">
      <c r="A61" s="519"/>
      <c r="B61" s="579"/>
      <c r="D61" s="578"/>
    </row>
    <row r="62" spans="1:4" s="501" customFormat="1">
      <c r="A62" s="519"/>
      <c r="B62" s="579"/>
      <c r="D62" s="578"/>
    </row>
    <row r="63" spans="1:4" s="501" customFormat="1">
      <c r="A63" s="519"/>
      <c r="B63" s="579"/>
      <c r="D63" s="578"/>
    </row>
    <row r="64" spans="1:4" s="501" customFormat="1">
      <c r="A64" s="519"/>
      <c r="B64" s="579"/>
      <c r="D64" s="578"/>
    </row>
    <row r="65" spans="1:4" s="501" customFormat="1">
      <c r="A65" s="519"/>
      <c r="B65" s="579"/>
      <c r="D65" s="578"/>
    </row>
    <row r="66" spans="1:4" s="501" customFormat="1">
      <c r="A66" s="519"/>
      <c r="B66" s="579"/>
      <c r="D66" s="578"/>
    </row>
    <row r="67" spans="1:4" s="501" customFormat="1">
      <c r="A67" s="519"/>
      <c r="B67" s="579"/>
      <c r="D67" s="578"/>
    </row>
    <row r="68" spans="1:4" s="501" customFormat="1">
      <c r="A68" s="519"/>
      <c r="B68" s="579"/>
      <c r="D68" s="578"/>
    </row>
    <row r="69" spans="1:4" s="501" customFormat="1">
      <c r="A69" s="519"/>
      <c r="B69" s="579"/>
      <c r="D69" s="578"/>
    </row>
    <row r="70" spans="1:4" s="501" customFormat="1">
      <c r="A70" s="519"/>
      <c r="B70" s="579"/>
      <c r="D70" s="578"/>
    </row>
    <row r="71" spans="1:4" s="501" customFormat="1">
      <c r="A71" s="519"/>
      <c r="B71" s="579"/>
      <c r="D71" s="578"/>
    </row>
    <row r="72" spans="1:4" s="501" customFormat="1">
      <c r="A72" s="519"/>
      <c r="B72" s="579"/>
      <c r="D72" s="578"/>
    </row>
    <row r="73" spans="1:4" s="501" customFormat="1">
      <c r="A73" s="519"/>
      <c r="B73" s="579"/>
      <c r="D73" s="578"/>
    </row>
    <row r="74" spans="1:4" s="501" customFormat="1">
      <c r="A74" s="519"/>
      <c r="B74" s="579"/>
      <c r="D74" s="578"/>
    </row>
    <row r="75" spans="1:4" s="501" customFormat="1">
      <c r="A75" s="519"/>
      <c r="B75" s="579"/>
      <c r="D75" s="578"/>
    </row>
    <row r="76" spans="1:4" s="501" customFormat="1">
      <c r="A76" s="519"/>
      <c r="B76" s="579"/>
      <c r="D76" s="578"/>
    </row>
    <row r="77" spans="1:4" s="501" customFormat="1">
      <c r="A77" s="519"/>
      <c r="B77" s="579"/>
      <c r="D77" s="578"/>
    </row>
    <row r="78" spans="1:4" s="501" customFormat="1">
      <c r="A78" s="519"/>
      <c r="B78" s="579"/>
      <c r="D78" s="578"/>
    </row>
    <row r="79" spans="1:4" s="501" customFormat="1">
      <c r="A79" s="519"/>
      <c r="B79" s="579"/>
      <c r="D79" s="576"/>
    </row>
    <row r="80" spans="1:4" s="501" customFormat="1">
      <c r="A80" s="519"/>
      <c r="B80" s="579"/>
      <c r="D80" s="576"/>
    </row>
    <row r="81" spans="1:4" s="501" customFormat="1" ht="12.5">
      <c r="A81" s="579"/>
      <c r="B81" s="579"/>
      <c r="D81" s="576"/>
    </row>
    <row r="82" spans="1:4" s="501" customFormat="1" ht="12.5">
      <c r="A82" s="579"/>
      <c r="B82" s="579"/>
      <c r="D82" s="576"/>
    </row>
    <row r="83" spans="1:4" s="501" customFormat="1" ht="12.5">
      <c r="A83" s="579"/>
      <c r="B83" s="579"/>
      <c r="D83" s="576"/>
    </row>
    <row r="84" spans="1:4" s="501" customFormat="1" ht="12.5">
      <c r="A84" s="579"/>
      <c r="B84" s="579"/>
      <c r="D84" s="576"/>
    </row>
    <row r="85" spans="1:4" s="501" customFormat="1" ht="12.5">
      <c r="A85" s="579"/>
      <c r="B85" s="579"/>
      <c r="D85" s="576"/>
    </row>
    <row r="86" spans="1:4" s="501" customFormat="1" ht="12.5">
      <c r="A86" s="579"/>
      <c r="B86" s="579"/>
      <c r="D86" s="576"/>
    </row>
    <row r="87" spans="1:4" s="501" customFormat="1" ht="12.5">
      <c r="A87" s="579"/>
      <c r="B87" s="579"/>
      <c r="D87" s="576"/>
    </row>
    <row r="88" spans="1:4" s="501" customFormat="1" ht="12.5">
      <c r="A88" s="579"/>
      <c r="B88" s="579"/>
      <c r="D88" s="576"/>
    </row>
    <row r="89" spans="1:4" s="501" customFormat="1" ht="12.5">
      <c r="A89" s="579"/>
      <c r="B89" s="579"/>
      <c r="D89" s="576"/>
    </row>
    <row r="90" spans="1:4" s="501" customFormat="1" ht="12.5">
      <c r="A90" s="579"/>
      <c r="B90" s="579"/>
      <c r="D90" s="576"/>
    </row>
    <row r="91" spans="1:4" s="501" customFormat="1" ht="12.5">
      <c r="A91" s="579"/>
      <c r="B91" s="579"/>
      <c r="D91" s="576"/>
    </row>
    <row r="92" spans="1:4" s="501" customFormat="1" ht="12.5">
      <c r="A92" s="579"/>
      <c r="B92" s="579"/>
      <c r="D92" s="576"/>
    </row>
    <row r="93" spans="1:4" s="501" customFormat="1" ht="12.5">
      <c r="A93" s="579"/>
      <c r="B93" s="579"/>
      <c r="D93" s="576"/>
    </row>
    <row r="94" spans="1:4" s="501" customFormat="1" ht="12.5">
      <c r="A94" s="579"/>
      <c r="B94" s="579"/>
      <c r="D94" s="576"/>
    </row>
    <row r="95" spans="1:4" s="501" customFormat="1" ht="12.5">
      <c r="A95" s="579"/>
      <c r="B95" s="579"/>
      <c r="D95" s="576"/>
    </row>
    <row r="96" spans="1:4" s="501" customFormat="1" ht="12.5">
      <c r="A96" s="579"/>
      <c r="B96" s="579"/>
      <c r="D96" s="576"/>
    </row>
    <row r="97" spans="1:4" s="501" customFormat="1" ht="12.5">
      <c r="A97" s="579"/>
      <c r="B97" s="579"/>
      <c r="D97" s="576"/>
    </row>
    <row r="98" spans="1:4" s="501" customFormat="1" ht="12.5">
      <c r="A98" s="579"/>
      <c r="B98" s="579"/>
      <c r="D98" s="576"/>
    </row>
    <row r="99" spans="1:4" s="501" customFormat="1" ht="12.5">
      <c r="A99" s="579"/>
      <c r="B99" s="579"/>
      <c r="D99" s="576"/>
    </row>
    <row r="100" spans="1:4" s="501" customFormat="1" ht="12.5">
      <c r="A100" s="579"/>
      <c r="B100" s="579"/>
      <c r="D100" s="576"/>
    </row>
    <row r="101" spans="1:4" s="501" customFormat="1" ht="12.5">
      <c r="A101" s="579"/>
      <c r="B101" s="579"/>
      <c r="D101" s="576"/>
    </row>
    <row r="102" spans="1:4" s="501" customFormat="1" ht="12.5">
      <c r="A102" s="579"/>
      <c r="B102" s="579"/>
      <c r="D102" s="576"/>
    </row>
    <row r="103" spans="1:4" s="501" customFormat="1" ht="12.5">
      <c r="A103" s="579"/>
      <c r="B103" s="579"/>
      <c r="D103" s="576"/>
    </row>
    <row r="104" spans="1:4" s="501" customFormat="1" ht="12.5">
      <c r="A104" s="579"/>
      <c r="B104" s="579"/>
      <c r="D104" s="576"/>
    </row>
    <row r="105" spans="1:4" s="501" customFormat="1" ht="12.5">
      <c r="A105" s="579"/>
      <c r="B105" s="579"/>
      <c r="D105" s="576"/>
    </row>
    <row r="106" spans="1:4" s="501" customFormat="1" ht="12.5">
      <c r="A106" s="579"/>
      <c r="B106" s="579"/>
      <c r="D106" s="576"/>
    </row>
    <row r="107" spans="1:4" s="501" customFormat="1" ht="12.5">
      <c r="A107" s="579"/>
      <c r="B107" s="579"/>
      <c r="D107" s="576"/>
    </row>
    <row r="108" spans="1:4" s="501" customFormat="1" ht="12.5">
      <c r="A108" s="579"/>
      <c r="B108" s="579"/>
      <c r="D108" s="576"/>
    </row>
    <row r="109" spans="1:4" s="501" customFormat="1" ht="12.5">
      <c r="A109" s="579"/>
      <c r="B109" s="579"/>
      <c r="D109" s="576"/>
    </row>
    <row r="110" spans="1:4" s="501" customFormat="1" ht="12.5">
      <c r="A110" s="579"/>
      <c r="B110" s="579"/>
      <c r="D110" s="576"/>
    </row>
    <row r="111" spans="1:4" s="501" customFormat="1" ht="12.5">
      <c r="A111" s="579"/>
      <c r="B111" s="579"/>
      <c r="D111" s="576"/>
    </row>
    <row r="112" spans="1:4" s="501" customFormat="1" ht="12.5">
      <c r="A112" s="579"/>
      <c r="B112" s="579"/>
      <c r="D112" s="576"/>
    </row>
    <row r="113" spans="1:4" s="501" customFormat="1" ht="12.5">
      <c r="A113" s="579"/>
      <c r="B113" s="579"/>
      <c r="D113" s="576"/>
    </row>
    <row r="114" spans="1:4" s="501" customFormat="1" ht="12.5">
      <c r="A114" s="579"/>
      <c r="B114" s="579"/>
      <c r="D114" s="576"/>
    </row>
    <row r="115" spans="1:4" s="501" customFormat="1" ht="12.5">
      <c r="A115" s="579"/>
      <c r="B115" s="579"/>
      <c r="D115" s="576"/>
    </row>
    <row r="116" spans="1:4" s="501" customFormat="1" ht="12.5">
      <c r="A116" s="579"/>
      <c r="B116" s="579"/>
      <c r="D116" s="576"/>
    </row>
    <row r="117" spans="1:4" s="501" customFormat="1" ht="12.5">
      <c r="A117" s="579"/>
      <c r="B117" s="579"/>
      <c r="D117" s="576"/>
    </row>
    <row r="118" spans="1:4" s="501" customFormat="1" ht="12.5">
      <c r="A118" s="579"/>
      <c r="B118" s="579"/>
      <c r="D118" s="576"/>
    </row>
    <row r="119" spans="1:4" s="501" customFormat="1" ht="12.5">
      <c r="A119" s="579"/>
      <c r="B119" s="579"/>
      <c r="D119" s="576"/>
    </row>
    <row r="120" spans="1:4" s="501" customFormat="1" ht="12.5">
      <c r="A120" s="579"/>
      <c r="B120" s="579"/>
      <c r="D120" s="576"/>
    </row>
    <row r="121" spans="1:4" s="501" customFormat="1" ht="12.5">
      <c r="A121" s="579"/>
      <c r="B121" s="579"/>
      <c r="D121" s="576"/>
    </row>
    <row r="122" spans="1:4" s="501" customFormat="1" ht="12.5">
      <c r="A122" s="579"/>
      <c r="B122" s="579"/>
      <c r="D122" s="576"/>
    </row>
    <row r="123" spans="1:4" s="501" customFormat="1" ht="12.5">
      <c r="A123" s="579"/>
      <c r="B123" s="579"/>
      <c r="D123" s="576"/>
    </row>
    <row r="124" spans="1:4" s="501" customFormat="1" ht="12.5">
      <c r="A124" s="579"/>
      <c r="B124" s="579"/>
      <c r="D124" s="576"/>
    </row>
    <row r="125" spans="1:4" s="501" customFormat="1" ht="12.5">
      <c r="A125" s="579"/>
      <c r="B125" s="579"/>
      <c r="D125" s="576"/>
    </row>
    <row r="126" spans="1:4" s="501" customFormat="1" ht="12.5">
      <c r="A126" s="579"/>
      <c r="B126" s="579"/>
      <c r="D126" s="576"/>
    </row>
    <row r="127" spans="1:4" s="501" customFormat="1" ht="12.5">
      <c r="A127" s="579"/>
      <c r="B127" s="579"/>
      <c r="D127" s="576"/>
    </row>
    <row r="128" spans="1:4" s="501" customFormat="1" ht="12.5">
      <c r="A128" s="579"/>
      <c r="B128" s="579"/>
      <c r="D128" s="576"/>
    </row>
    <row r="129" spans="1:4" s="501" customFormat="1" ht="12.5">
      <c r="A129" s="579"/>
      <c r="B129" s="579"/>
      <c r="D129" s="576"/>
    </row>
    <row r="130" spans="1:4" s="501" customFormat="1" ht="12.5">
      <c r="A130" s="579"/>
      <c r="B130" s="579"/>
      <c r="D130" s="576"/>
    </row>
    <row r="131" spans="1:4" s="501" customFormat="1" ht="12.5">
      <c r="A131" s="579"/>
      <c r="B131" s="579"/>
      <c r="D131" s="576"/>
    </row>
    <row r="132" spans="1:4" s="501" customFormat="1" ht="12.5">
      <c r="A132" s="579"/>
      <c r="B132" s="579"/>
      <c r="D132" s="576"/>
    </row>
    <row r="133" spans="1:4" s="501" customFormat="1" ht="12.5">
      <c r="A133" s="579"/>
      <c r="B133" s="579"/>
      <c r="D133" s="576"/>
    </row>
    <row r="134" spans="1:4" s="501" customFormat="1" ht="12.5">
      <c r="A134" s="579"/>
      <c r="B134" s="579"/>
      <c r="D134" s="576"/>
    </row>
    <row r="135" spans="1:4" s="501" customFormat="1" ht="12.5">
      <c r="A135" s="579"/>
      <c r="B135" s="579"/>
      <c r="D135" s="576"/>
    </row>
    <row r="136" spans="1:4" s="501" customFormat="1" ht="12.5">
      <c r="A136" s="579"/>
      <c r="B136" s="579"/>
      <c r="D136" s="576"/>
    </row>
    <row r="137" spans="1:4" s="501" customFormat="1" ht="12.5">
      <c r="A137" s="579"/>
      <c r="B137" s="579"/>
      <c r="D137" s="576"/>
    </row>
    <row r="138" spans="1:4" s="501" customFormat="1" ht="12.5">
      <c r="A138" s="579"/>
      <c r="B138" s="579"/>
      <c r="D138" s="576"/>
    </row>
    <row r="139" spans="1:4" s="501" customFormat="1" ht="12.5">
      <c r="A139" s="579"/>
      <c r="B139" s="579"/>
      <c r="D139" s="576"/>
    </row>
    <row r="140" spans="1:4" s="501" customFormat="1" ht="12.5">
      <c r="A140" s="579"/>
      <c r="B140" s="579"/>
      <c r="D140" s="576"/>
    </row>
    <row r="141" spans="1:4" s="501" customFormat="1" ht="12.5">
      <c r="A141" s="579"/>
      <c r="B141" s="579"/>
      <c r="D141" s="576"/>
    </row>
    <row r="142" spans="1:4" s="501" customFormat="1" ht="12.5">
      <c r="A142" s="579"/>
      <c r="B142" s="579"/>
      <c r="D142" s="576"/>
    </row>
    <row r="143" spans="1:4" s="501" customFormat="1" ht="12.5">
      <c r="A143" s="579"/>
      <c r="B143" s="579"/>
      <c r="D143" s="576"/>
    </row>
    <row r="144" spans="1:4" s="501" customFormat="1" ht="12.5">
      <c r="A144" s="579"/>
      <c r="B144" s="579"/>
      <c r="D144" s="576"/>
    </row>
    <row r="145" spans="1:4" s="501" customFormat="1" ht="12.5">
      <c r="A145" s="579"/>
      <c r="B145" s="579"/>
      <c r="D145" s="576"/>
    </row>
    <row r="146" spans="1:4" s="501" customFormat="1" ht="12.5">
      <c r="A146" s="579"/>
      <c r="B146" s="579"/>
      <c r="D146" s="576"/>
    </row>
    <row r="147" spans="1:4" s="501" customFormat="1" ht="12.5">
      <c r="A147" s="579"/>
      <c r="B147" s="579"/>
      <c r="D147" s="576"/>
    </row>
    <row r="148" spans="1:4" s="501" customFormat="1" ht="12.5">
      <c r="A148" s="579"/>
      <c r="B148" s="579"/>
      <c r="D148" s="576"/>
    </row>
    <row r="149" spans="1:4" s="501" customFormat="1" ht="12.5">
      <c r="A149" s="579"/>
      <c r="B149" s="579"/>
      <c r="D149" s="576"/>
    </row>
    <row r="150" spans="1:4" s="501" customFormat="1" ht="12.5">
      <c r="A150" s="579"/>
      <c r="B150" s="579"/>
      <c r="D150" s="576"/>
    </row>
    <row r="151" spans="1:4" s="501" customFormat="1" ht="12.5">
      <c r="A151" s="579"/>
      <c r="B151" s="579"/>
      <c r="D151" s="576"/>
    </row>
    <row r="152" spans="1:4" s="501" customFormat="1" ht="12.5">
      <c r="A152" s="579"/>
      <c r="B152" s="579"/>
      <c r="D152" s="576"/>
    </row>
    <row r="153" spans="1:4" s="501" customFormat="1" ht="12.5">
      <c r="A153" s="579"/>
      <c r="B153" s="579"/>
      <c r="D153" s="576"/>
    </row>
    <row r="154" spans="1:4" s="501" customFormat="1" ht="12.5">
      <c r="A154" s="579"/>
      <c r="B154" s="579"/>
      <c r="D154" s="576"/>
    </row>
    <row r="155" spans="1:4" s="501" customFormat="1" ht="12.5">
      <c r="A155" s="579"/>
      <c r="B155" s="579"/>
      <c r="D155" s="576"/>
    </row>
    <row r="156" spans="1:4" s="501" customFormat="1" ht="12.5">
      <c r="A156" s="579"/>
      <c r="B156" s="579"/>
      <c r="D156" s="576"/>
    </row>
    <row r="157" spans="1:4" s="501" customFormat="1" ht="12.5">
      <c r="A157" s="579"/>
      <c r="B157" s="579"/>
      <c r="D157" s="576"/>
    </row>
    <row r="158" spans="1:4" s="501" customFormat="1" ht="12.5">
      <c r="A158" s="579"/>
      <c r="B158" s="579"/>
      <c r="D158" s="576"/>
    </row>
    <row r="159" spans="1:4" s="501" customFormat="1" ht="12.5">
      <c r="A159" s="579"/>
      <c r="B159" s="579"/>
      <c r="D159" s="576"/>
    </row>
    <row r="160" spans="1:4" s="501" customFormat="1" ht="12.5">
      <c r="A160" s="579"/>
      <c r="B160" s="579"/>
      <c r="D160" s="576"/>
    </row>
    <row r="161" spans="1:4" s="501" customFormat="1" ht="12.5">
      <c r="A161" s="579"/>
      <c r="B161" s="579"/>
      <c r="D161" s="576"/>
    </row>
    <row r="162" spans="1:4" s="501" customFormat="1" ht="12.5">
      <c r="A162" s="579"/>
      <c r="B162" s="579"/>
      <c r="D162" s="576"/>
    </row>
    <row r="163" spans="1:4" s="501" customFormat="1" ht="12.5">
      <c r="A163" s="579"/>
      <c r="B163" s="579"/>
      <c r="D163" s="576"/>
    </row>
    <row r="164" spans="1:4" s="501" customFormat="1" ht="12.5">
      <c r="A164" s="579"/>
      <c r="B164" s="579"/>
      <c r="D164" s="576"/>
    </row>
    <row r="165" spans="1:4" s="501" customFormat="1" ht="12.5">
      <c r="A165" s="579"/>
      <c r="B165" s="579"/>
      <c r="D165" s="576"/>
    </row>
    <row r="166" spans="1:4" s="501" customFormat="1" ht="12.5">
      <c r="A166" s="579"/>
      <c r="B166" s="579"/>
      <c r="D166" s="576"/>
    </row>
    <row r="167" spans="1:4" s="501" customFormat="1" ht="12.5">
      <c r="A167" s="579"/>
      <c r="B167" s="579"/>
      <c r="D167" s="576"/>
    </row>
    <row r="168" spans="1:4" s="501" customFormat="1" ht="12.5">
      <c r="A168" s="579"/>
      <c r="B168" s="579"/>
      <c r="D168" s="576"/>
    </row>
    <row r="169" spans="1:4" s="501" customFormat="1" ht="12.5">
      <c r="A169" s="579"/>
      <c r="B169" s="579"/>
      <c r="D169" s="576"/>
    </row>
    <row r="170" spans="1:4" s="501" customFormat="1" ht="12.5">
      <c r="A170" s="579"/>
      <c r="B170" s="579"/>
      <c r="D170" s="576"/>
    </row>
    <row r="171" spans="1:4" s="501" customFormat="1" ht="12.5">
      <c r="A171" s="579"/>
      <c r="B171" s="579"/>
      <c r="D171" s="576"/>
    </row>
    <row r="172" spans="1:4" s="501" customFormat="1" ht="12.5">
      <c r="A172" s="579"/>
      <c r="B172" s="579"/>
      <c r="D172" s="576"/>
    </row>
    <row r="173" spans="1:4" s="501" customFormat="1" ht="12.5">
      <c r="A173" s="579"/>
      <c r="B173" s="579"/>
      <c r="D173" s="576"/>
    </row>
    <row r="174" spans="1:4" s="501" customFormat="1" ht="12.5">
      <c r="A174" s="579"/>
      <c r="B174" s="579"/>
      <c r="D174" s="576"/>
    </row>
    <row r="175" spans="1:4" s="501" customFormat="1" ht="12.5">
      <c r="A175" s="579"/>
      <c r="B175" s="579"/>
      <c r="D175" s="576"/>
    </row>
    <row r="176" spans="1:4" s="501" customFormat="1" ht="12.5">
      <c r="A176" s="579"/>
      <c r="B176" s="579"/>
      <c r="D176" s="576"/>
    </row>
    <row r="177" spans="1:4" s="501" customFormat="1" ht="12.5">
      <c r="A177" s="579"/>
      <c r="B177" s="579"/>
      <c r="D177" s="576"/>
    </row>
    <row r="178" spans="1:4" s="501" customFormat="1" ht="12.5">
      <c r="A178" s="579"/>
      <c r="B178" s="579"/>
      <c r="D178" s="576"/>
    </row>
    <row r="179" spans="1:4" s="501" customFormat="1" ht="12.5">
      <c r="A179" s="579"/>
      <c r="B179" s="579"/>
      <c r="D179" s="576"/>
    </row>
    <row r="180" spans="1:4" s="501" customFormat="1" ht="12.5">
      <c r="A180" s="579"/>
      <c r="B180" s="579"/>
      <c r="D180" s="576"/>
    </row>
    <row r="181" spans="1:4" s="501" customFormat="1" ht="12.5">
      <c r="A181" s="579"/>
      <c r="B181" s="579"/>
      <c r="D181" s="576"/>
    </row>
    <row r="182" spans="1:4" s="501" customFormat="1" ht="12.5">
      <c r="A182" s="579"/>
      <c r="B182" s="579"/>
      <c r="D182" s="576"/>
    </row>
    <row r="183" spans="1:4" s="501" customFormat="1" ht="12.5">
      <c r="A183" s="579"/>
      <c r="B183" s="579"/>
      <c r="D183" s="576"/>
    </row>
    <row r="184" spans="1:4" s="501" customFormat="1" ht="12.5">
      <c r="A184" s="579"/>
      <c r="B184" s="579"/>
      <c r="D184" s="576"/>
    </row>
    <row r="185" spans="1:4" s="501" customFormat="1" ht="12.5">
      <c r="A185" s="579"/>
      <c r="B185" s="579"/>
      <c r="D185" s="576"/>
    </row>
    <row r="186" spans="1:4" s="501" customFormat="1" ht="12.5">
      <c r="A186" s="579"/>
      <c r="B186" s="579"/>
      <c r="D186" s="576"/>
    </row>
    <row r="187" spans="1:4" s="501" customFormat="1" ht="12.5">
      <c r="A187" s="579"/>
      <c r="B187" s="579"/>
      <c r="D187" s="576"/>
    </row>
    <row r="188" spans="1:4" s="501" customFormat="1" ht="12.5">
      <c r="A188" s="579"/>
      <c r="B188" s="579"/>
      <c r="D188" s="576"/>
    </row>
    <row r="189" spans="1:4" s="501" customFormat="1" ht="12.5">
      <c r="A189" s="579"/>
      <c r="B189" s="579"/>
      <c r="D189" s="576"/>
    </row>
    <row r="190" spans="1:4" s="501" customFormat="1" ht="12.5">
      <c r="A190" s="579"/>
      <c r="B190" s="579"/>
      <c r="D190" s="576"/>
    </row>
    <row r="191" spans="1:4" s="501" customFormat="1" ht="12.5">
      <c r="A191" s="579"/>
      <c r="B191" s="579"/>
      <c r="D191" s="576"/>
    </row>
    <row r="192" spans="1:4" s="501" customFormat="1" ht="12.5">
      <c r="A192" s="579"/>
      <c r="B192" s="579"/>
      <c r="D192" s="576"/>
    </row>
    <row r="193" spans="1:4" s="501" customFormat="1" ht="12.5">
      <c r="A193" s="579"/>
      <c r="B193" s="579"/>
      <c r="D193" s="576"/>
    </row>
    <row r="194" spans="1:4" s="501" customFormat="1" ht="12.5">
      <c r="A194" s="579"/>
      <c r="B194" s="579"/>
      <c r="D194" s="576"/>
    </row>
    <row r="195" spans="1:4" s="501" customFormat="1" ht="12.5">
      <c r="A195" s="579"/>
      <c r="B195" s="579"/>
      <c r="D195" s="576"/>
    </row>
    <row r="196" spans="1:4" s="501" customFormat="1" ht="12.5">
      <c r="A196" s="579"/>
      <c r="B196" s="579"/>
      <c r="D196" s="576"/>
    </row>
    <row r="197" spans="1:4" s="501" customFormat="1" ht="12.5">
      <c r="A197" s="579"/>
      <c r="B197" s="579"/>
      <c r="D197" s="576"/>
    </row>
    <row r="198" spans="1:4" s="501" customFormat="1" ht="12.5">
      <c r="A198" s="579"/>
      <c r="B198" s="579"/>
      <c r="D198" s="576"/>
    </row>
    <row r="199" spans="1:4" s="501" customFormat="1" ht="12.5">
      <c r="A199" s="579"/>
      <c r="B199" s="579"/>
      <c r="D199" s="576"/>
    </row>
    <row r="200" spans="1:4" s="501" customFormat="1" ht="12.5">
      <c r="A200" s="579"/>
      <c r="B200" s="579"/>
      <c r="D200" s="576"/>
    </row>
    <row r="201" spans="1:4" s="501" customFormat="1" ht="12.5">
      <c r="A201" s="579"/>
      <c r="B201" s="579"/>
      <c r="D201" s="576"/>
    </row>
    <row r="202" spans="1:4" s="501" customFormat="1" ht="12.5">
      <c r="A202" s="579"/>
      <c r="B202" s="579"/>
      <c r="D202" s="576"/>
    </row>
    <row r="203" spans="1:4" s="501" customFormat="1" ht="12.5">
      <c r="A203" s="579"/>
      <c r="B203" s="579"/>
      <c r="D203" s="576"/>
    </row>
    <row r="204" spans="1:4" s="501" customFormat="1" ht="12.5">
      <c r="A204" s="579"/>
      <c r="B204" s="579"/>
      <c r="D204" s="576"/>
    </row>
    <row r="205" spans="1:4" s="501" customFormat="1" ht="12.5">
      <c r="A205" s="579"/>
      <c r="B205" s="579"/>
      <c r="D205" s="576"/>
    </row>
    <row r="206" spans="1:4" s="501" customFormat="1" ht="12.5">
      <c r="A206" s="579"/>
      <c r="B206" s="579"/>
      <c r="D206" s="576"/>
    </row>
    <row r="207" spans="1:4" s="501" customFormat="1" ht="12.5">
      <c r="A207" s="579"/>
      <c r="B207" s="579"/>
      <c r="D207" s="576"/>
    </row>
    <row r="208" spans="1:4" s="501" customFormat="1" ht="12.5">
      <c r="A208" s="579"/>
      <c r="B208" s="579"/>
      <c r="D208" s="576"/>
    </row>
    <row r="209" spans="1:4" s="501" customFormat="1" ht="12.5">
      <c r="A209" s="579"/>
      <c r="B209" s="579"/>
      <c r="D209" s="576"/>
    </row>
    <row r="210" spans="1:4" s="501" customFormat="1" ht="12.5">
      <c r="A210" s="579"/>
      <c r="B210" s="579"/>
      <c r="D210" s="576"/>
    </row>
    <row r="211" spans="1:4" s="501" customFormat="1" ht="12.5">
      <c r="A211" s="579"/>
      <c r="B211" s="579"/>
      <c r="D211" s="576"/>
    </row>
    <row r="212" spans="1:4" s="501" customFormat="1" ht="12.5">
      <c r="A212" s="579"/>
      <c r="B212" s="579"/>
      <c r="D212" s="576"/>
    </row>
    <row r="213" spans="1:4" s="501" customFormat="1" ht="12.5">
      <c r="A213" s="579"/>
      <c r="B213" s="579"/>
      <c r="D213" s="576"/>
    </row>
    <row r="214" spans="1:4" s="501" customFormat="1" ht="12.5">
      <c r="A214" s="579"/>
      <c r="B214" s="579"/>
      <c r="D214" s="576"/>
    </row>
    <row r="215" spans="1:4" s="501" customFormat="1" ht="12.5">
      <c r="A215" s="579"/>
      <c r="B215" s="579"/>
      <c r="D215" s="576"/>
    </row>
    <row r="216" spans="1:4" s="501" customFormat="1" ht="12.5">
      <c r="A216" s="579"/>
      <c r="B216" s="579"/>
      <c r="D216" s="576"/>
    </row>
    <row r="217" spans="1:4" s="501" customFormat="1" ht="12.5">
      <c r="A217" s="579"/>
      <c r="B217" s="579"/>
      <c r="D217" s="576"/>
    </row>
    <row r="218" spans="1:4" s="501" customFormat="1" ht="12.5">
      <c r="A218" s="579"/>
      <c r="B218" s="579"/>
      <c r="D218" s="576"/>
    </row>
    <row r="219" spans="1:4" s="501" customFormat="1" ht="12.5">
      <c r="A219" s="579"/>
      <c r="B219" s="579"/>
      <c r="D219" s="576"/>
    </row>
    <row r="220" spans="1:4" s="501" customFormat="1" ht="12.5">
      <c r="A220" s="579"/>
      <c r="B220" s="579"/>
      <c r="D220" s="576"/>
    </row>
    <row r="221" spans="1:4" s="501" customFormat="1" ht="12.5">
      <c r="A221" s="579"/>
      <c r="B221" s="579"/>
      <c r="D221" s="576"/>
    </row>
    <row r="222" spans="1:4" s="501" customFormat="1" ht="12.5">
      <c r="A222" s="579"/>
      <c r="B222" s="579"/>
      <c r="D222" s="576"/>
    </row>
    <row r="223" spans="1:4" s="501" customFormat="1" ht="12.5">
      <c r="A223" s="579"/>
      <c r="B223" s="579"/>
      <c r="D223" s="576"/>
    </row>
    <row r="224" spans="1:4" s="501" customFormat="1" ht="12.5">
      <c r="A224" s="579"/>
      <c r="B224" s="579"/>
      <c r="D224" s="576"/>
    </row>
    <row r="225" spans="1:4" s="501" customFormat="1" ht="12.5">
      <c r="A225" s="579"/>
      <c r="B225" s="579"/>
      <c r="D225" s="576"/>
    </row>
    <row r="226" spans="1:4" s="501" customFormat="1" ht="12.5">
      <c r="A226" s="579"/>
      <c r="B226" s="579"/>
      <c r="D226" s="576"/>
    </row>
    <row r="227" spans="1:4" s="501" customFormat="1" ht="12.5">
      <c r="A227" s="579"/>
      <c r="B227" s="579"/>
      <c r="D227" s="576"/>
    </row>
    <row r="228" spans="1:4" s="501" customFormat="1" ht="12.5">
      <c r="A228" s="579"/>
      <c r="B228" s="579"/>
      <c r="D228" s="576"/>
    </row>
    <row r="229" spans="1:4" s="501" customFormat="1" ht="12.5">
      <c r="A229" s="579"/>
      <c r="B229" s="579"/>
      <c r="D229" s="576"/>
    </row>
    <row r="230" spans="1:4" s="501" customFormat="1" ht="12.5">
      <c r="A230" s="579"/>
      <c r="B230" s="579"/>
      <c r="D230" s="576"/>
    </row>
    <row r="231" spans="1:4" s="501" customFormat="1" ht="12.5">
      <c r="A231" s="579"/>
      <c r="B231" s="579"/>
      <c r="D231" s="576"/>
    </row>
    <row r="232" spans="1:4" s="501" customFormat="1" ht="12.5">
      <c r="A232" s="579"/>
      <c r="B232" s="579"/>
      <c r="D232" s="576"/>
    </row>
    <row r="233" spans="1:4" s="501" customFormat="1" ht="12.5">
      <c r="A233" s="579"/>
      <c r="B233" s="579"/>
      <c r="D233" s="576"/>
    </row>
    <row r="234" spans="1:4" s="501" customFormat="1" ht="12.5">
      <c r="A234" s="579"/>
      <c r="B234" s="579"/>
      <c r="D234" s="576"/>
    </row>
    <row r="235" spans="1:4" s="501" customFormat="1" ht="12.5">
      <c r="A235" s="579"/>
      <c r="B235" s="579"/>
      <c r="D235" s="576"/>
    </row>
    <row r="236" spans="1:4" s="501" customFormat="1" ht="12.5">
      <c r="A236" s="579"/>
      <c r="B236" s="579"/>
      <c r="D236" s="576"/>
    </row>
    <row r="237" spans="1:4" s="501" customFormat="1" ht="12.5">
      <c r="A237" s="579"/>
      <c r="B237" s="579"/>
      <c r="D237" s="576"/>
    </row>
    <row r="238" spans="1:4" s="501" customFormat="1" ht="12.5">
      <c r="A238" s="579"/>
      <c r="B238" s="579"/>
      <c r="D238" s="576"/>
    </row>
    <row r="239" spans="1:4" s="501" customFormat="1" ht="12.5">
      <c r="A239" s="579"/>
      <c r="B239" s="579"/>
      <c r="D239" s="576"/>
    </row>
    <row r="240" spans="1:4" s="501" customFormat="1" ht="12.5">
      <c r="A240" s="579"/>
      <c r="B240" s="579"/>
      <c r="D240" s="576"/>
    </row>
    <row r="241" spans="1:4" s="501" customFormat="1" ht="12.5">
      <c r="A241" s="579"/>
      <c r="B241" s="579"/>
      <c r="D241" s="576"/>
    </row>
    <row r="242" spans="1:4" s="501" customFormat="1" ht="12.5">
      <c r="A242" s="579"/>
      <c r="B242" s="579"/>
      <c r="D242" s="576"/>
    </row>
    <row r="243" spans="1:4" s="501" customFormat="1" ht="12.5">
      <c r="A243" s="579"/>
      <c r="B243" s="579"/>
      <c r="D243" s="576"/>
    </row>
    <row r="244" spans="1:4" s="501" customFormat="1" ht="12.5">
      <c r="A244" s="579"/>
      <c r="B244" s="579"/>
      <c r="D244" s="576"/>
    </row>
    <row r="245" spans="1:4" s="501" customFormat="1" ht="12.5">
      <c r="A245" s="579"/>
      <c r="B245" s="579"/>
      <c r="D245" s="576"/>
    </row>
    <row r="246" spans="1:4" s="501" customFormat="1" ht="12.5">
      <c r="A246" s="579"/>
      <c r="B246" s="579"/>
      <c r="D246" s="576"/>
    </row>
    <row r="247" spans="1:4" s="501" customFormat="1" ht="12.5">
      <c r="A247" s="579"/>
      <c r="B247" s="579"/>
      <c r="D247" s="576"/>
    </row>
    <row r="248" spans="1:4" s="501" customFormat="1" ht="12.5">
      <c r="A248" s="579"/>
      <c r="B248" s="579"/>
      <c r="D248" s="576"/>
    </row>
    <row r="249" spans="1:4" s="501" customFormat="1" ht="12.5">
      <c r="A249" s="579"/>
      <c r="B249" s="579"/>
      <c r="D249" s="576"/>
    </row>
    <row r="250" spans="1:4" s="501" customFormat="1" ht="12.5">
      <c r="A250" s="579"/>
      <c r="B250" s="579"/>
      <c r="D250" s="576"/>
    </row>
    <row r="251" spans="1:4" s="501" customFormat="1" ht="12.5">
      <c r="A251" s="579"/>
      <c r="B251" s="579"/>
      <c r="D251" s="576"/>
    </row>
    <row r="252" spans="1:4" s="501" customFormat="1" ht="12.5">
      <c r="A252" s="579"/>
      <c r="B252" s="579"/>
      <c r="D252" s="576"/>
    </row>
    <row r="253" spans="1:4" s="501" customFormat="1" ht="12.5">
      <c r="A253" s="579"/>
      <c r="B253" s="579"/>
      <c r="D253" s="576"/>
    </row>
    <row r="254" spans="1:4" s="501" customFormat="1" ht="12.5">
      <c r="A254" s="579"/>
      <c r="B254" s="579"/>
      <c r="D254" s="576"/>
    </row>
    <row r="255" spans="1:4" s="501" customFormat="1" ht="12.5">
      <c r="A255" s="579"/>
      <c r="B255" s="579"/>
      <c r="D255" s="576"/>
    </row>
    <row r="256" spans="1:4" s="501" customFormat="1" ht="12.5">
      <c r="A256" s="579"/>
      <c r="B256" s="579"/>
      <c r="D256" s="576"/>
    </row>
    <row r="257" spans="1:4" s="501" customFormat="1" ht="12.5">
      <c r="A257" s="579"/>
      <c r="B257" s="579"/>
      <c r="D257" s="576"/>
    </row>
    <row r="258" spans="1:4" s="501" customFormat="1" ht="12.5">
      <c r="A258" s="579"/>
      <c r="B258" s="579"/>
      <c r="D258" s="576"/>
    </row>
    <row r="259" spans="1:4" s="501" customFormat="1" ht="12.5">
      <c r="A259" s="579"/>
      <c r="B259" s="579"/>
      <c r="D259" s="576"/>
    </row>
    <row r="260" spans="1:4" s="501" customFormat="1" ht="12.5">
      <c r="A260" s="579"/>
      <c r="B260" s="579"/>
      <c r="D260" s="576"/>
    </row>
    <row r="261" spans="1:4" s="501" customFormat="1" ht="12.5">
      <c r="A261" s="579"/>
      <c r="B261" s="579"/>
      <c r="D261" s="576"/>
    </row>
    <row r="262" spans="1:4" s="501" customFormat="1" ht="12.5">
      <c r="A262" s="579"/>
      <c r="B262" s="579"/>
      <c r="D262" s="576"/>
    </row>
    <row r="263" spans="1:4" s="501" customFormat="1" ht="12.5">
      <c r="A263" s="579"/>
      <c r="B263" s="579"/>
      <c r="D263" s="576"/>
    </row>
    <row r="264" spans="1:4" s="501" customFormat="1" ht="12.5">
      <c r="A264" s="579"/>
      <c r="B264" s="579"/>
      <c r="D264" s="576"/>
    </row>
    <row r="265" spans="1:4" s="501" customFormat="1" ht="12.5">
      <c r="A265" s="579"/>
      <c r="B265" s="579"/>
      <c r="D265" s="576"/>
    </row>
    <row r="266" spans="1:4" s="501" customFormat="1" ht="12.5">
      <c r="A266" s="579"/>
      <c r="B266" s="579"/>
      <c r="D266" s="576"/>
    </row>
    <row r="267" spans="1:4" s="501" customFormat="1" ht="12.5">
      <c r="A267" s="579"/>
      <c r="B267" s="579"/>
      <c r="D267" s="576"/>
    </row>
    <row r="268" spans="1:4" s="501" customFormat="1" ht="12.5">
      <c r="A268" s="579"/>
      <c r="B268" s="579"/>
      <c r="D268" s="576"/>
    </row>
    <row r="269" spans="1:4" s="501" customFormat="1" ht="12.5">
      <c r="A269" s="579"/>
      <c r="B269" s="579"/>
      <c r="D269" s="576"/>
    </row>
    <row r="270" spans="1:4" s="501" customFormat="1" ht="12.5">
      <c r="A270" s="579"/>
      <c r="B270" s="579"/>
      <c r="D270" s="576"/>
    </row>
    <row r="271" spans="1:4" s="501" customFormat="1" ht="12.5">
      <c r="A271" s="579"/>
      <c r="B271" s="579"/>
      <c r="D271" s="576"/>
    </row>
    <row r="272" spans="1:4" s="501" customFormat="1" ht="12.5">
      <c r="A272" s="579"/>
      <c r="B272" s="579"/>
      <c r="D272" s="576"/>
    </row>
    <row r="273" spans="1:4" s="501" customFormat="1" ht="12.5">
      <c r="A273" s="579"/>
      <c r="B273" s="579"/>
      <c r="D273" s="576"/>
    </row>
    <row r="274" spans="1:4" s="501" customFormat="1" ht="12.5">
      <c r="A274" s="579"/>
      <c r="B274" s="579"/>
      <c r="D274" s="576"/>
    </row>
  </sheetData>
  <mergeCells count="7">
    <mergeCell ref="B28:C28"/>
    <mergeCell ref="B14:C14"/>
    <mergeCell ref="B15:C15"/>
    <mergeCell ref="B17:C17"/>
    <mergeCell ref="B18:C18"/>
    <mergeCell ref="B23:C23"/>
    <mergeCell ref="B26:C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EELARVE-2025</vt:lpstr>
      <vt:lpstr>EELARVE2025_lahtikirjutus</vt:lpstr>
      <vt:lpstr>Org.toetus 2018-2,68%</vt:lpstr>
      <vt:lpstr>Kojad-2018_0,950-2,68%</vt:lpstr>
      <vt:lpstr>Liidud -2018_0,950-2%</vt:lpstr>
      <vt:lpstr>Org.toetus 2017</vt:lpstr>
      <vt:lpstr>Liidud-2017_950 000 €</vt:lpstr>
      <vt:lpstr>Kojad-2017_950 000 €</vt:lpstr>
      <vt:lpstr>SAEPIF eelarve 2017</vt:lpstr>
      <vt:lpstr>Eelarve 2017 lahtik.</vt:lpstr>
      <vt:lpstr>Liidud_1 000 000 €</vt:lpstr>
      <vt:lpstr>Kojad_1 000 000 €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EPI Fond</cp:lastModifiedBy>
  <cp:lastPrinted>2024-12-05T10:13:58Z</cp:lastPrinted>
  <dcterms:created xsi:type="dcterms:W3CDTF">2016-10-11T09:39:52Z</dcterms:created>
  <dcterms:modified xsi:type="dcterms:W3CDTF">2024-12-05T10:14:06Z</dcterms:modified>
</cp:coreProperties>
</file>